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xk0mHlSLtuK7G6eAA2K66BdYoPPkGb6LkemDMJulGRjV92U06jUAHoose6qsbSI5vbPXlw6ZgwXNX7YCOaBbA==" workbookSaltValue="gOSye6u3V9IG+cIrnk+UA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13" i="7"/>
  <c r="E18" i="12"/>
  <c r="EL19" i="8"/>
  <c r="AP12" i="11"/>
  <c r="EN19" i="8"/>
  <c r="F12" i="21"/>
  <c r="G10" i="3"/>
  <c r="BA13" i="16"/>
  <c r="AP10" i="11"/>
  <c r="Y12" i="11"/>
  <c r="T10" i="21"/>
  <c r="ES19" i="8"/>
  <c r="G18" i="12"/>
  <c r="C18" i="7"/>
  <c r="R8" i="9"/>
  <c r="X12" i="21" s="1"/>
  <c r="BM19" i="8"/>
  <c r="AL13" i="16"/>
  <c r="BJ17" i="11"/>
  <c r="V11" i="16"/>
  <c r="BL12" i="11"/>
  <c r="S13" i="16"/>
  <c r="V12" i="21"/>
  <c r="P13" i="16"/>
  <c r="AM13" i="20"/>
  <c r="H13" i="12"/>
  <c r="F13" i="7"/>
  <c r="T13" i="12"/>
  <c r="S9" i="17"/>
  <c r="S16" i="14"/>
  <c r="V16" i="14" s="1"/>
  <c r="BJ15" i="11"/>
  <c r="BI17" i="11"/>
  <c r="BL11" i="11"/>
  <c r="BM15" i="11"/>
  <c r="BU15" i="17"/>
  <c r="BW17" i="20"/>
  <c r="BW16" i="20"/>
  <c r="BW15" i="20"/>
  <c r="BV10" i="16"/>
  <c r="BU12" i="17"/>
  <c r="AZ16" i="11"/>
  <c r="AZ11" i="11"/>
  <c r="S15" i="16"/>
  <c r="BH10" i="11"/>
  <c r="BI9" i="11"/>
  <c r="AQ10" i="21"/>
  <c r="T12" i="11"/>
  <c r="BJ10" i="11"/>
  <c r="BK16" i="11"/>
  <c r="BH11" i="11"/>
  <c r="BG16" i="11"/>
  <c r="T11" i="11"/>
  <c r="BH16" i="11"/>
  <c r="AQ12" i="21"/>
  <c r="BJ16" i="11"/>
  <c r="BL16" i="11"/>
  <c r="BG10" i="8"/>
  <c r="BD15" i="8"/>
  <c r="BD9" i="8"/>
  <c r="BA13" i="8"/>
  <c r="AA10" i="16"/>
  <c r="I19" i="8"/>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L19" i="8" l="1"/>
  <c r="BF17" i="8"/>
  <c r="BM18" i="16"/>
  <c r="AV18" i="21"/>
  <c r="AW18" i="21"/>
  <c r="Z13" i="17"/>
  <c r="BE12" i="8"/>
  <c r="I12" i="7" s="1"/>
  <c r="AB13" i="21"/>
  <c r="BG12" i="8"/>
  <c r="AC10" i="11"/>
  <c r="K9" i="7"/>
  <c r="AO17" i="11"/>
  <c r="J10" i="2"/>
  <c r="AA9" i="16"/>
  <c r="L9" i="2"/>
  <c r="L16" i="2"/>
  <c r="L15" i="2"/>
  <c r="L10" i="2"/>
  <c r="BK10" i="11"/>
  <c r="BH12" i="16"/>
  <c r="BM9" i="11"/>
  <c r="BF15" i="11"/>
  <c r="BM17" i="11"/>
  <c r="Q15" i="17"/>
  <c r="Q18" i="17" s="1"/>
  <c r="BH10" i="16"/>
  <c r="R11" i="14"/>
  <c r="BL10" i="11"/>
  <c r="BL15" i="11"/>
  <c r="BF12" i="11"/>
  <c r="P15" i="17"/>
  <c r="X15" i="17"/>
  <c r="BU17" i="17"/>
  <c r="BU9" i="17"/>
  <c r="BV15" i="16"/>
  <c r="BV16" i="16"/>
  <c r="BW9" i="20"/>
  <c r="AP17" i="20"/>
  <c r="BH17" i="11"/>
  <c r="BG9" i="11"/>
  <c r="X17" i="20"/>
  <c r="BI15" i="11"/>
  <c r="BI10" i="11"/>
  <c r="BF16" i="11"/>
  <c r="BH15" i="16"/>
  <c r="BH9" i="16"/>
  <c r="F15" i="16"/>
  <c r="BL15" i="16" s="1"/>
  <c r="BE12" i="21"/>
  <c r="AO9" i="11"/>
  <c r="BE9" i="13"/>
  <c r="AL9" i="11"/>
  <c r="E11" i="6"/>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Q10" i="21"/>
  <c r="V11" i="11"/>
  <c r="BK15" i="11"/>
  <c r="S17" i="16"/>
  <c r="S18" i="16" s="1"/>
  <c r="BF17" i="11"/>
  <c r="Q17" i="20"/>
  <c r="Q18" i="20" s="1"/>
  <c r="BH15" i="11"/>
  <c r="V15" i="11"/>
  <c r="AP16" i="20"/>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K20" i="11"/>
  <c r="J20" i="17"/>
  <c r="AA20" i="21"/>
  <c r="K20" i="21"/>
  <c r="T20" i="11"/>
  <c r="K20" i="12"/>
  <c r="AO20" i="17"/>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AU20" i="11"/>
  <c r="AW20" i="17"/>
  <c r="Z20" i="16"/>
  <c r="AI20" i="21"/>
  <c r="Y20" i="11"/>
  <c r="AE20" i="21"/>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<sst xmlns="http://schemas.openxmlformats.org/spreadsheetml/2006/main" count="2094" uniqueCount="913">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</sst>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LOS8ep1qvjICT8yslda1wB+mpddeaZYv55+uy4dE7QnbULj+qtA9Uqxu4emx4W1nGp1AsKM9J+1ulKD0DuZBA==" saltValue="XeoDS0pgPw5/O77eAe75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0</v>
      </c>
      <c r="F10" s="230">
        <f>IF(ISNUMBER(Datos!K10),Datos!K10," - ")</f>
        <v>0</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30.859459459459462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156</v>
      </c>
      <c r="D16" s="229">
        <f>IF(ISNUMBER(IF(D_I="SI",Datos!I16,Datos!I16+Datos!AC16)),IF(D_I="SI",Datos!I16,Datos!I16+Datos!AC16)," - ")</f>
        <v>156</v>
      </c>
      <c r="E16" s="230">
        <f>IF(ISNUMBER(IF(D_I="SI",Datos!J16,Datos!J16+Datos!AD16)),IF(D_I="SI",Datos!J16,Datos!J16+Datos!AD16)," - ")</f>
        <v>169</v>
      </c>
      <c r="F16" s="230">
        <f>IF(ISNUMBER(IF(D_I="SI",Datos!K16,Datos!K16+Datos!AE16)),IF(D_I="SI",Datos!K16,Datos!K16+Datos!AE16)," - ")</f>
        <v>144</v>
      </c>
      <c r="G16" s="1189" t="str">
        <f>IF(Datos!E16&lt;&gt;"",Datos!E16,Datos!D16)</f>
        <v>04</v>
      </c>
      <c r="H16" s="231">
        <f>IF(ISNUMBER(IF(D_I="SI",Datos!L16,Datos!L16+Datos!AF16)),IF(D_I="SI",Datos!L16,Datos!L16+Datos!AF16)," - ")</f>
        <v>181</v>
      </c>
      <c r="I16" s="1199" t="str">
        <f>IF(ISNUMBER(Datos!AS16/Datos!BM16),Datos!AS16/Datos!BM16," - ")</f>
        <v xml:space="preserve"> - </v>
      </c>
      <c r="J16" s="1200">
        <f>IF(ISNUMBER(Datos!BY16/Datos!CN16),Datos!BY16/Datos!CN16," - ")</f>
        <v>0</v>
      </c>
      <c r="K16" s="234">
        <f t="shared" si="3"/>
        <v>0.16025641025641027</v>
      </c>
      <c r="L16" s="1201">
        <f>IF(ISNUMBER(NºAsuntos!I16/NºAsuntos!G16),(NºAsuntos!I16/NºAsuntos!G16)*11," - ")</f>
        <v>13.826388888888889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15</v>
      </c>
      <c r="F17" s="230">
        <f>IF(ISNUMBER(IF(D_I="SI",Datos!K17,Datos!K17+Datos!AE17)),IF(D_I="SI",Datos!K17,Datos!K17+Datos!AE17)," - ")</f>
        <v>26</v>
      </c>
      <c r="G17" s="1189" t="str">
        <f>IF(Datos!E17&lt;&gt;"",Datos!E17,Datos!D17)</f>
        <v>37</v>
      </c>
      <c r="H17" s="231">
        <f>IF(ISNUMBER(IF(D_I="SI",Datos!L17,Datos!L17+Datos!AF17)),IF(D_I="SI",Datos!L17,Datos!L17+Datos!AF17)," - ")</f>
        <v>20</v>
      </c>
      <c r="I17" s="1199" t="str">
        <f>IF(ISNUMBER(Datos!AS17/Datos!BM17),Datos!AS17/Datos!BM17," - ")</f>
        <v xml:space="preserve"> - </v>
      </c>
      <c r="J17" s="1200" t="str">
        <f>IF(ISNUMBER((Datos!BY17+Datos!BZ17)/Datos!CN17),(Datos!BY17+Datos!BZ17)/Datos!CN17," - ")</f>
        <v xml:space="preserve"> - </v>
      </c>
      <c r="K17" s="234">
        <f t="shared" si="3"/>
        <v>-0.35483870967741937</v>
      </c>
      <c r="L17" s="1201">
        <f>IF(ISNUMBER(NºAsuntos!I17/NºAsuntos!G17),(NºAsuntos!I17/NºAsuntos!G17)*11," - ")</f>
        <v>8.4615384615384617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187</v>
      </c>
      <c r="D18" s="1206">
        <f>SUBTOTAL(9,D15:D17)</f>
        <v>187</v>
      </c>
      <c r="E18" s="1207">
        <f>SUBTOTAL(9,E15:E17)</f>
        <v>184</v>
      </c>
      <c r="F18" s="1207">
        <f>SUBTOTAL(9,F15:F17)</f>
        <v>170</v>
      </c>
      <c r="G18" s="1209" t="str">
        <f ca="1">INDIRECT(CONCATENATE("G",ROW()-1))</f>
        <v>37</v>
      </c>
      <c r="H18" s="1210">
        <f ca="1">SUMIF(G$14:G17,G18,H$14:H17)</f>
        <v>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198</v>
      </c>
      <c r="D19" s="1228">
        <f>SUBTOTAL(9,D9:D18)</f>
        <v>198</v>
      </c>
      <c r="E19" s="1229">
        <f>SUBTOTAL(9,E9:E18)</f>
        <v>184</v>
      </c>
      <c r="F19" s="1229">
        <f>SUBTOTAL(9,F9:F18)</f>
        <v>170</v>
      </c>
      <c r="G19" s="1230"/>
      <c r="H19" s="1231">
        <f ca="1">SUMIF(B9:B18,"TOTAL",H9:H18)</f>
        <v>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Nd2ukRYdR7J6riMKTuk2HOlges3BQE7tpJceiWY6NaEH2dVL4Vhc0GhOq4g1WyLPcY7xOdIVCk7R6ptz8kcRQ==" saltValue="sqO92J1hoS839iUpTbUG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FRT6ZU71FOrSNWUZE+idK0t3xbU2erAsjC+6lZISRkApp0o9+Hu5A913sR5+ilNPMh9PFodJDG9gqmHxeZavw==" saltValue="lRzrmQta7lphtkB85wwQ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0</v>
      </c>
      <c r="K10" s="185">
        <v>0</v>
      </c>
      <c r="L10" s="185">
        <v>11</v>
      </c>
      <c r="M10" s="185">
        <v>0</v>
      </c>
      <c r="N10" s="185">
        <v>0</v>
      </c>
      <c r="O10" s="185">
        <v>0</v>
      </c>
      <c r="P10" s="185">
        <v>0</v>
      </c>
      <c r="Q10" s="185">
        <v>0</v>
      </c>
      <c r="R10" s="185">
        <v>0</v>
      </c>
      <c r="S10" s="185">
        <v>9</v>
      </c>
      <c r="T10" s="185">
        <v>1</v>
      </c>
      <c r="U10" s="185">
        <v>0</v>
      </c>
      <c r="V10" s="185">
        <v>10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1</v>
      </c>
      <c r="BA10" s="130">
        <f t="shared" si="0"/>
        <v>0</v>
      </c>
      <c r="BB10" s="130">
        <f t="shared" si="0"/>
        <v>10</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446</v>
      </c>
      <c r="J12" s="187">
        <v>207</v>
      </c>
      <c r="K12" s="187">
        <v>172</v>
      </c>
      <c r="L12" s="187">
        <v>481</v>
      </c>
      <c r="M12" s="187">
        <v>40</v>
      </c>
      <c r="N12" s="187">
        <v>18</v>
      </c>
      <c r="O12" s="185">
        <v>21</v>
      </c>
      <c r="P12" s="187">
        <v>52</v>
      </c>
      <c r="Q12" s="187">
        <v>22</v>
      </c>
      <c r="R12" s="187">
        <v>893</v>
      </c>
      <c r="S12" s="187">
        <v>383</v>
      </c>
      <c r="T12" s="187">
        <v>222</v>
      </c>
      <c r="U12" s="187">
        <v>137</v>
      </c>
      <c r="V12" s="187">
        <v>468</v>
      </c>
      <c r="W12" s="187">
        <v>43</v>
      </c>
      <c r="X12" s="193">
        <v>104</v>
      </c>
      <c r="Y12" s="195">
        <v>33</v>
      </c>
      <c r="Z12" s="185">
        <v>18</v>
      </c>
      <c r="AA12" s="185">
        <v>13</v>
      </c>
      <c r="AB12" s="185">
        <v>38</v>
      </c>
      <c r="AC12" s="187">
        <v>0</v>
      </c>
      <c r="AD12" s="187">
        <v>0</v>
      </c>
      <c r="AE12" s="187">
        <v>0</v>
      </c>
      <c r="AF12" s="193">
        <v>0</v>
      </c>
      <c r="AG12" s="206">
        <v>88</v>
      </c>
      <c r="AH12" s="187">
        <v>46</v>
      </c>
      <c r="AI12" s="187">
        <v>52</v>
      </c>
      <c r="AJ12" s="207">
        <v>82</v>
      </c>
      <c r="AK12" s="186">
        <v>0</v>
      </c>
      <c r="AL12" s="187">
        <v>0</v>
      </c>
      <c r="AM12" s="187">
        <v>0</v>
      </c>
      <c r="AN12" s="193">
        <v>0</v>
      </c>
      <c r="AO12" s="263">
        <v>2</v>
      </c>
      <c r="AP12" s="159">
        <v>2</v>
      </c>
      <c r="AQ12" s="159">
        <v>2</v>
      </c>
      <c r="AR12" s="158">
        <v>2</v>
      </c>
      <c r="AS12" s="349" t="s">
        <v>811</v>
      </c>
      <c r="AT12" s="207"/>
      <c r="AU12" s="206"/>
      <c r="AV12" s="207"/>
      <c r="AW12" s="206"/>
      <c r="AX12" s="207"/>
      <c r="AY12" s="127">
        <f t="shared" si="1"/>
        <v>471</v>
      </c>
      <c r="AZ12" s="128">
        <f t="shared" si="1"/>
        <v>268</v>
      </c>
      <c r="BA12" s="128">
        <f t="shared" si="1"/>
        <v>189</v>
      </c>
      <c r="BB12" s="128">
        <f t="shared" si="1"/>
        <v>550</v>
      </c>
      <c r="BC12" s="126">
        <f>IF(ISNUMBER(X12),X12," - ")</f>
        <v>104</v>
      </c>
      <c r="BD12" s="127">
        <f t="shared" si="2"/>
        <v>0.70522388059701491</v>
      </c>
      <c r="BE12" s="128">
        <f t="shared" si="3"/>
        <v>2.9100529100529102</v>
      </c>
      <c r="BF12" s="128">
        <f t="shared" si="4"/>
        <v>0.55026455026455023</v>
      </c>
      <c r="BG12" s="200">
        <f t="shared" si="5"/>
        <v>3.9100529100529102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457</v>
      </c>
      <c r="J13" s="188">
        <f t="shared" si="6"/>
        <v>207</v>
      </c>
      <c r="K13" s="188">
        <f t="shared" si="6"/>
        <v>172</v>
      </c>
      <c r="L13" s="188">
        <f t="shared" si="6"/>
        <v>492</v>
      </c>
      <c r="M13" s="188">
        <f t="shared" si="6"/>
        <v>40</v>
      </c>
      <c r="N13" s="188">
        <f t="shared" si="6"/>
        <v>18</v>
      </c>
      <c r="O13" s="188">
        <f t="shared" si="6"/>
        <v>21</v>
      </c>
      <c r="P13" s="188">
        <f t="shared" si="6"/>
        <v>52</v>
      </c>
      <c r="Q13" s="188">
        <f t="shared" si="6"/>
        <v>22</v>
      </c>
      <c r="R13" s="188">
        <f t="shared" si="6"/>
        <v>893</v>
      </c>
      <c r="S13" s="188">
        <f t="shared" si="6"/>
        <v>392</v>
      </c>
      <c r="T13" s="188">
        <f t="shared" si="6"/>
        <v>223</v>
      </c>
      <c r="U13" s="188">
        <f t="shared" si="6"/>
        <v>137</v>
      </c>
      <c r="V13" s="188">
        <f t="shared" si="6"/>
        <v>478</v>
      </c>
      <c r="W13" s="188">
        <f t="shared" si="6"/>
        <v>43</v>
      </c>
      <c r="X13" s="188">
        <f t="shared" si="6"/>
        <v>104</v>
      </c>
      <c r="Y13" s="188">
        <f t="shared" si="6"/>
        <v>33</v>
      </c>
      <c r="Z13" s="188">
        <f t="shared" si="6"/>
        <v>18</v>
      </c>
      <c r="AA13" s="188">
        <f t="shared" si="6"/>
        <v>13</v>
      </c>
      <c r="AB13" s="188">
        <f t="shared" si="6"/>
        <v>38</v>
      </c>
      <c r="AC13" s="188">
        <f t="shared" si="6"/>
        <v>0</v>
      </c>
      <c r="AD13" s="188">
        <f t="shared" si="6"/>
        <v>0</v>
      </c>
      <c r="AE13" s="188">
        <f t="shared" si="6"/>
        <v>0</v>
      </c>
      <c r="AF13" s="188">
        <f>SUBTOTAL(9,AF9:AF12)</f>
        <v>0</v>
      </c>
      <c r="AG13" s="188">
        <f t="shared" ref="AG13:AT13" si="7">SUBTOTAL(9,AG8:AG12)</f>
        <v>88</v>
      </c>
      <c r="AH13" s="188">
        <f t="shared" si="7"/>
        <v>46</v>
      </c>
      <c r="AI13" s="188">
        <f t="shared" si="7"/>
        <v>52</v>
      </c>
      <c r="AJ13" s="188">
        <f t="shared" si="7"/>
        <v>82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480</v>
      </c>
      <c r="AZ13" s="188">
        <f>SUBTOTAL(9,AZ8:AZ12)</f>
        <v>269</v>
      </c>
      <c r="BA13" s="188">
        <f>SUBTOTAL(9,BA8:BA12)</f>
        <v>189</v>
      </c>
      <c r="BB13" s="188">
        <f>SUBTOTAL(9,BB8:BB12)</f>
        <v>560</v>
      </c>
      <c r="BC13" s="188">
        <f>SUBTOTAL(9,BC8:BC12)</f>
        <v>104</v>
      </c>
      <c r="BD13" s="209">
        <f>IF(ISNUMBER(BA13/AZ13),BA13/AZ13," - ")</f>
        <v>0.70260223048327142</v>
      </c>
      <c r="BE13" s="210">
        <f>IF(ISNUMBER(BB13/BA13),BB13/BA13, " - ")</f>
        <v>2.9629629629629628</v>
      </c>
      <c r="BF13" s="210">
        <f>IF(ISNUMBER(BC13/BA13),BC13/BA13, " - ")</f>
        <v>0.55026455026455023</v>
      </c>
      <c r="BG13" s="211">
        <f>IF(ISNUMBER((AY13+AZ13)/BA13),(AY13+AZ13)/BA13," - ")</f>
        <v>3.9629629629629628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156</v>
      </c>
      <c r="J16" s="187">
        <v>169</v>
      </c>
      <c r="K16" s="187">
        <v>144</v>
      </c>
      <c r="L16" s="187">
        <v>181</v>
      </c>
      <c r="M16" s="187">
        <v>23</v>
      </c>
      <c r="N16" s="187">
        <v>98</v>
      </c>
      <c r="O16" s="185">
        <v>1</v>
      </c>
      <c r="P16" s="187">
        <v>1</v>
      </c>
      <c r="Q16" s="187">
        <v>7</v>
      </c>
      <c r="R16" s="187">
        <v>35</v>
      </c>
      <c r="S16" s="187">
        <v>189</v>
      </c>
      <c r="T16" s="187">
        <v>173</v>
      </c>
      <c r="U16" s="187">
        <v>179</v>
      </c>
      <c r="V16" s="187">
        <v>183</v>
      </c>
      <c r="W16" s="187">
        <v>27</v>
      </c>
      <c r="X16" s="193">
        <v>107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189</v>
      </c>
      <c r="AZ16" s="128">
        <f t="shared" si="9"/>
        <v>173</v>
      </c>
      <c r="BA16" s="128">
        <f t="shared" si="9"/>
        <v>179</v>
      </c>
      <c r="BB16" s="128">
        <f t="shared" si="9"/>
        <v>183</v>
      </c>
      <c r="BC16" s="126">
        <f>IF(ISNUMBER(W16),W16," - ")</f>
        <v>27</v>
      </c>
      <c r="BD16" s="127">
        <f t="shared" ref="BD16" si="11">IF(ISNUMBER(BA16/AZ16),BA16/AZ16," - ")</f>
        <v>1.0346820809248556</v>
      </c>
      <c r="BE16" s="128">
        <f t="shared" ref="BE16" si="12">IF(ISNUMBER(BB16/BA16),BB16/BA16, " - ")</f>
        <v>1.0223463687150838</v>
      </c>
      <c r="BF16" s="128">
        <f t="shared" ref="BF16" si="13">IF(ISNUMBER(BC16/BA16),BC16/BA16, " - ")</f>
        <v>0.15083798882681565</v>
      </c>
      <c r="BG16" s="200">
        <f t="shared" si="10"/>
        <v>2.022346368715084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15</v>
      </c>
      <c r="K17" s="187">
        <v>26</v>
      </c>
      <c r="L17" s="187">
        <v>20</v>
      </c>
      <c r="M17" s="187">
        <v>3</v>
      </c>
      <c r="N17" s="187">
        <v>25</v>
      </c>
      <c r="O17" s="187">
        <v>0</v>
      </c>
      <c r="P17" s="187">
        <v>0</v>
      </c>
      <c r="Q17" s="187">
        <v>0</v>
      </c>
      <c r="R17" s="187">
        <v>2</v>
      </c>
      <c r="S17" s="187">
        <v>8</v>
      </c>
      <c r="T17" s="187">
        <v>12</v>
      </c>
      <c r="U17" s="187">
        <v>14</v>
      </c>
      <c r="V17" s="187">
        <v>6</v>
      </c>
      <c r="W17" s="187">
        <v>4</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12</v>
      </c>
      <c r="BA17" s="130">
        <f t="shared" si="14"/>
        <v>14</v>
      </c>
      <c r="BB17" s="130">
        <f t="shared" si="14"/>
        <v>6</v>
      </c>
      <c r="BC17" s="126">
        <f>IF(ISNUMBER(W17),W17," - ")</f>
        <v>4</v>
      </c>
      <c r="BD17" s="127">
        <f>IF(ISNUMBER(BA17/AZ17),BA17/AZ17," - ")</f>
        <v>1.1666666666666667</v>
      </c>
      <c r="BE17" s="128">
        <f>IF(ISNUMBER(BB17/BA17),BB17/BA17, " - ")</f>
        <v>0.42857142857142855</v>
      </c>
      <c r="BF17" s="128">
        <f>IF(ISNUMBER(BC17/BA17),BC17/BA17, " - ")</f>
        <v>0.2857142857142857</v>
      </c>
      <c r="BG17" s="200">
        <f>IF(ISNUMBER((AY17+AZ17)/BA17),(AY17+AZ17)/BA17," - ")</f>
        <v>1.4285714285714286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187</v>
      </c>
      <c r="J18" s="188">
        <f t="shared" si="15"/>
        <v>184</v>
      </c>
      <c r="K18" s="188">
        <f t="shared" si="15"/>
        <v>170</v>
      </c>
      <c r="L18" s="188">
        <f t="shared" si="15"/>
        <v>201</v>
      </c>
      <c r="M18" s="188">
        <f t="shared" si="15"/>
        <v>26</v>
      </c>
      <c r="N18" s="188">
        <f t="shared" si="15"/>
        <v>123</v>
      </c>
      <c r="O18" s="188">
        <f t="shared" si="15"/>
        <v>1</v>
      </c>
      <c r="P18" s="188">
        <f t="shared" si="15"/>
        <v>1</v>
      </c>
      <c r="Q18" s="188">
        <f t="shared" si="15"/>
        <v>7</v>
      </c>
      <c r="R18" s="188">
        <f t="shared" si="15"/>
        <v>37</v>
      </c>
      <c r="S18" s="188">
        <f t="shared" si="15"/>
        <v>197</v>
      </c>
      <c r="T18" s="188">
        <f t="shared" si="15"/>
        <v>185</v>
      </c>
      <c r="U18" s="188">
        <f t="shared" si="15"/>
        <v>193</v>
      </c>
      <c r="V18" s="188">
        <f t="shared" si="15"/>
        <v>189</v>
      </c>
      <c r="W18" s="188">
        <f t="shared" si="15"/>
        <v>31</v>
      </c>
      <c r="X18" s="188">
        <f t="shared" si="15"/>
        <v>117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197</v>
      </c>
      <c r="AZ18" s="188">
        <f>SUBTOTAL(9,AZ14:AZ17)</f>
        <v>185</v>
      </c>
      <c r="BA18" s="188">
        <f>SUBTOTAL(9,BA14:BA17)</f>
        <v>193</v>
      </c>
      <c r="BB18" s="188">
        <f>SUBTOTAL(9,BB14:BB17)</f>
        <v>189</v>
      </c>
      <c r="BC18" s="188">
        <f>SUBTOTAL(9,BC14:BC17)</f>
        <v>31</v>
      </c>
      <c r="BD18" s="209">
        <f>IF(ISNUMBER(BA18/AZ18),BA18/AZ18," - ")</f>
        <v>1.0432432432432432</v>
      </c>
      <c r="BE18" s="210">
        <f>IF(ISNUMBER(BB18/BA18),BB18/BA18, " - ")</f>
        <v>0.97927461139896377</v>
      </c>
      <c r="BF18" s="210">
        <f>IF(ISNUMBER(BC18/BA18),BC18/BA18, " - ")</f>
        <v>0.16062176165803108</v>
      </c>
      <c r="BG18" s="211">
        <f>IF(ISNUMBER((AY18+AZ18)/BA18),(AY18+AZ18)/BA18," - ")</f>
        <v>1.9792746113989637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644</v>
      </c>
      <c r="J19" s="135">
        <f t="shared" si="18"/>
        <v>391</v>
      </c>
      <c r="K19" s="135">
        <f t="shared" si="18"/>
        <v>342</v>
      </c>
      <c r="L19" s="135">
        <f t="shared" si="18"/>
        <v>693</v>
      </c>
      <c r="M19" s="135">
        <f t="shared" si="18"/>
        <v>66</v>
      </c>
      <c r="N19" s="135">
        <f t="shared" si="18"/>
        <v>141</v>
      </c>
      <c r="O19" s="135">
        <f t="shared" si="18"/>
        <v>22</v>
      </c>
      <c r="P19" s="135">
        <f t="shared" si="18"/>
        <v>53</v>
      </c>
      <c r="Q19" s="135">
        <f t="shared" si="18"/>
        <v>29</v>
      </c>
      <c r="R19" s="135">
        <f t="shared" si="18"/>
        <v>930</v>
      </c>
      <c r="S19" s="135">
        <f t="shared" si="18"/>
        <v>589</v>
      </c>
      <c r="T19" s="135">
        <f t="shared" si="18"/>
        <v>408</v>
      </c>
      <c r="U19" s="135">
        <f t="shared" si="18"/>
        <v>330</v>
      </c>
      <c r="V19" s="135">
        <f t="shared" si="18"/>
        <v>667</v>
      </c>
      <c r="W19" s="135">
        <f t="shared" si="18"/>
        <v>74</v>
      </c>
      <c r="X19" s="135">
        <f t="shared" si="18"/>
        <v>221</v>
      </c>
      <c r="Y19" s="135">
        <f t="shared" si="18"/>
        <v>33</v>
      </c>
      <c r="Z19" s="135">
        <f t="shared" si="18"/>
        <v>18</v>
      </c>
      <c r="AA19" s="135">
        <f t="shared" si="18"/>
        <v>13</v>
      </c>
      <c r="AB19" s="135">
        <f t="shared" si="18"/>
        <v>38</v>
      </c>
      <c r="AC19" s="135">
        <f t="shared" si="18"/>
        <v>0</v>
      </c>
      <c r="AD19" s="135">
        <f t="shared" si="18"/>
        <v>0</v>
      </c>
      <c r="AE19" s="135">
        <f t="shared" si="18"/>
        <v>0</v>
      </c>
      <c r="AF19" s="135">
        <f t="shared" si="18"/>
        <v>0</v>
      </c>
      <c r="AG19" s="135">
        <f t="shared" si="18"/>
        <v>88</v>
      </c>
      <c r="AH19" s="135">
        <f t="shared" si="18"/>
        <v>46</v>
      </c>
      <c r="AI19" s="135">
        <f t="shared" si="18"/>
        <v>52</v>
      </c>
      <c r="AJ19" s="135">
        <f t="shared" si="18"/>
        <v>82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677</v>
      </c>
      <c r="AZ19" s="135">
        <f>SUBTOTAL(9,AZ9:AZ18)</f>
        <v>454</v>
      </c>
      <c r="BA19" s="135">
        <f>SUBTOTAL(9,BA9:BA18)</f>
        <v>382</v>
      </c>
      <c r="BB19" s="135">
        <f>SUBTOTAL(9,BB9:BB18)</f>
        <v>749</v>
      </c>
      <c r="BC19" s="136">
        <f>SUBTOTAL(9,BC9:BC18)</f>
        <v>135</v>
      </c>
      <c r="BD19" s="217">
        <f>IF(ISNUMBER(BA19/AZ19),BA19/AZ19," - ")</f>
        <v>0.84140969162995594</v>
      </c>
      <c r="BE19" s="214">
        <f>IF(ISNUMBER(BB19/BA19),BB19/BA19, " - ")</f>
        <v>1.9607329842931938</v>
      </c>
      <c r="BF19" s="214">
        <f>IF(ISNUMBER(BC19/BA19),BC19/BA19, " - ")</f>
        <v>0.35340314136125656</v>
      </c>
      <c r="BG19" s="136">
        <f>IF(ISNUMBER((AY19+AZ19)/BA19),(AY19+AZ19)/BA19," - ")</f>
        <v>2.9607329842931938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Ompg+Ne6wjH0NuLyWIcFYPqeBPuMpDXgFNeBO4okgOvdCMuJYkNrs5+pMSJFrdpW3MwQDuq3oHF5VwBGVM/SA==" saltValue="f/zghUFMH0d59n0HaJmj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WbK1HL61P258OmR85CcX7b8QdJvRsZXkJ7pySTfRDNybQ4YE1GuxEknvCO+q3O19gVmIeNcdAe1qkQil0JA4w==" saltValue="YmZl6nao1k/QulWdObg9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 BARCO DE VALDEORRAS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893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40</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0.82222222222222219</v>
      </c>
      <c r="BH12" s="669">
        <f>IF(ISNUMBER(((IF(J_V="SI",Datos!L12/Datos!K12,(Datos!L12+Datos!AB12)/(Datos!K12+Datos!AA12)))*11)/factor_trimestre),((IF(J_V="SI",Datos!L12/Datos!K12,(Datos!L12+Datos!AB12)/(Datos!K12+Datos!AA12)))*11)/factor_trimestre," - ")</f>
        <v>5.6108108108108112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3.4762456546929318E-2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22</v>
      </c>
      <c r="AD13" s="1045">
        <f t="shared" si="1"/>
        <v>0</v>
      </c>
      <c r="AE13" s="1045">
        <f t="shared" si="1"/>
        <v>0</v>
      </c>
      <c r="AF13" s="1045">
        <f t="shared" si="1"/>
        <v>11</v>
      </c>
      <c r="AG13" s="1045">
        <f t="shared" si="1"/>
        <v>0</v>
      </c>
      <c r="AH13" s="1045">
        <f t="shared" si="1"/>
        <v>38</v>
      </c>
      <c r="AI13" s="1045">
        <f t="shared" si="1"/>
        <v>0</v>
      </c>
      <c r="AJ13" s="1045">
        <f t="shared" si="1"/>
        <v>0</v>
      </c>
      <c r="AK13" s="1045">
        <f t="shared" si="1"/>
        <v>0</v>
      </c>
      <c r="AL13" s="1045">
        <f t="shared" si="1"/>
        <v>0</v>
      </c>
      <c r="AM13" s="1045">
        <f t="shared" si="1"/>
        <v>893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v>
      </c>
      <c r="BD13" s="1045">
        <f t="shared" si="1"/>
        <v>18</v>
      </c>
      <c r="BE13" s="1045">
        <f t="shared" si="1"/>
        <v>0</v>
      </c>
      <c r="BF13" s="1045">
        <f t="shared" si="1"/>
        <v>0</v>
      </c>
      <c r="BG13" s="1045">
        <f>IF(ISNUMBER(Datos!K13/Datos!J13),Datos!K13/Datos!J13," - ")</f>
        <v>0.83091787439613529</v>
      </c>
      <c r="BH13" s="1049">
        <f>IF(ISNUMBER(((Datos!L13/Datos!K13)*11)/factor_trimestre),((Datos!L13/Datos!K13)*11)/factor_trimestre," - ")</f>
        <v>5.7209302325581399</v>
      </c>
      <c r="BI13" s="1045">
        <f>IF(ISNUMBER('Resol  Asuntos'!D13/NºAsuntos!G13),'Resol  Asuntos'!D13/NºAsuntos!G13," - ")</f>
        <v>0.21621621621621623</v>
      </c>
      <c r="BJ13" s="1045" t="str">
        <f>IF(ISNUMBER(Datos!CI13/Datos!CJ13),Datos!CI13/Datos!CJ13," - ")</f>
        <v xml:space="preserve"> - </v>
      </c>
      <c r="BK13" s="1045">
        <f>SUBTOTAL(9,BK8:BK12)</f>
        <v>0</v>
      </c>
      <c r="BL13" s="1045">
        <f>IF(ISNUMBER((I13-AB13+L13)/(F13)),(I13-AB13+L13)/(F13)," - ")</f>
        <v>0</v>
      </c>
      <c r="BM13" s="1050">
        <f>SUBTOTAL(9,BM9:BM12)</f>
        <v>3.4762456546929318E-2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156</v>
      </c>
      <c r="G16" s="650">
        <f>IF(ISNUMBER(IF(D_I="SI",Datos!I16,Datos!I16+Datos!AC16)),IF(D_I="SI",Datos!I16,Datos!I16+Datos!AC16)," - ")</f>
        <v>156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144</v>
      </c>
      <c r="AC16" s="230">
        <f>IF(ISNUMBER(Datos!Q16),Datos!Q16," - ")</f>
        <v>7</v>
      </c>
      <c r="AD16" s="343"/>
      <c r="AE16" s="515"/>
      <c r="AF16" s="648">
        <f>IF(ISNUMBER(IF(D_I="SI",Datos!L16,Datos!L16+Datos!AF16)),IF(D_I="SI",Datos!L16,Datos!L16+Datos!AF16)," - ")</f>
        <v>181</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0.85207100591715978</v>
      </c>
      <c r="BH16" s="669">
        <f>IF(ISNUMBER(((IF(D_I="SI",Datos!L16/Datos!K16,(Datos!L16+Datos!AF16)/(Datos!K16+Datos!AE16)))*11)/factor_trimestre),((IF(D_I="SI",Datos!L16/Datos!K16,(Datos!L16+Datos!AF16)/(Datos!K16+Datos!AE16)))*11)/factor_trimestre," - ")</f>
        <v>2.5138888888888888</v>
      </c>
      <c r="BI16" s="247">
        <f>IF(ISNUMBER('Resol  Asuntos'!D16/NºAsuntos!G16),'Resol  Asuntos'!D16/NºAsuntos!G16," - ")</f>
        <v>0.15972222222222221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20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1.7333333333333334</v>
      </c>
      <c r="BH17" s="669">
        <f>IF(ISNUMBER(((IF(D_I="SI",Datos!L17/Datos!K17,(Datos!L17+Datos!AF17)/(Datos!K17+Datos!AE17)))*11)/factor_trimestre),((IF(D_I="SI",Datos!L17/Datos!K17,(Datos!L17+Datos!AF17)/(Datos!K17+Datos!AE17)))*11)/factor_trimestre," - ")</f>
        <v>1.5384615384615385</v>
      </c>
      <c r="BI17" s="668">
        <f>IF(ISNUMBER('Resol  Asuntos'!D17/NºAsuntos!G17),'Resol  Asuntos'!D17/NºAsuntos!G17," - ")</f>
        <v>0.11538461538461539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156</v>
      </c>
      <c r="G18" s="1044">
        <f>SUBTOTAL(9,G15:G17)</f>
        <v>187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170</v>
      </c>
      <c r="AC18" s="1045">
        <f t="shared" si="4"/>
        <v>7</v>
      </c>
      <c r="AD18" s="1045">
        <f t="shared" si="4"/>
        <v>0</v>
      </c>
      <c r="AE18" s="1045">
        <f t="shared" si="4"/>
        <v>0</v>
      </c>
      <c r="AF18" s="1045">
        <f t="shared" si="4"/>
        <v>201</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v>
      </c>
      <c r="BD18" s="1045">
        <f t="shared" si="4"/>
        <v>123</v>
      </c>
      <c r="BE18" s="1045">
        <f t="shared" si="4"/>
        <v>0</v>
      </c>
      <c r="BF18" s="1045">
        <f t="shared" si="4"/>
        <v>0</v>
      </c>
      <c r="BG18" s="1045">
        <f>IF(ISNUMBER(Datos!K18/Datos!J18),Datos!K18/Datos!J18," - ")</f>
        <v>0.92391304347826086</v>
      </c>
      <c r="BH18" s="1049">
        <f>IF(ISNUMBER(((Datos!L18/Datos!K18)*11)/factor_trimestre),((Datos!L18/Datos!K18)*11)/factor_trimestre," - ")</f>
        <v>2.3647058823529412</v>
      </c>
      <c r="BI18" s="1045">
        <f>SUBTOTAL(9,BI15:BI17)</f>
        <v>0.27510683760683763</v>
      </c>
      <c r="BJ18" s="1045">
        <f>SUBTOTAL(9,BJ15:BJ17)</f>
        <v>0</v>
      </c>
      <c r="BK18" s="1045">
        <f>SUBTOTAL(9,BK15:BK17)</f>
        <v>0</v>
      </c>
      <c r="BL18" s="1045">
        <f>IF(ISNUMBER((I18-AB18+L18)/(F18)),(I18-AB18+L18)/(F18)," - ")</f>
        <v>-1.0897435897435896</v>
      </c>
      <c r="BM18" s="1051">
        <f>IF(ISNUMBER((Datos!P18-Datos!Q18)/(Datos!R18-Datos!P18+Datos!Q18)),(Datos!P18-Datos!Q18)/(Datos!R18-Datos!P18+Datos!Q18)," - ")</f>
        <v>-0.13953488372093023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167</v>
      </c>
      <c r="G19" s="966">
        <f t="shared" si="6"/>
        <v>198</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170</v>
      </c>
      <c r="AC19" s="967">
        <f t="shared" si="7"/>
        <v>29</v>
      </c>
      <c r="AD19" s="967">
        <f t="shared" si="7"/>
        <v>0</v>
      </c>
      <c r="AE19" s="967">
        <f t="shared" si="7"/>
        <v>0</v>
      </c>
      <c r="AF19" s="974">
        <f t="shared" si="7"/>
        <v>212</v>
      </c>
      <c r="AG19" s="974">
        <f t="shared" si="7"/>
        <v>0</v>
      </c>
      <c r="AH19" s="974">
        <f t="shared" si="7"/>
        <v>38</v>
      </c>
      <c r="AI19" s="974">
        <f t="shared" si="7"/>
        <v>0</v>
      </c>
      <c r="AJ19" s="967">
        <f t="shared" si="7"/>
        <v>0</v>
      </c>
      <c r="AK19" s="974">
        <f t="shared" si="7"/>
        <v>0</v>
      </c>
      <c r="AL19" s="974">
        <f t="shared" si="7"/>
        <v>0</v>
      </c>
      <c r="AM19" s="974">
        <f t="shared" si="7"/>
        <v>930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66</v>
      </c>
      <c r="BD19" s="966">
        <f t="shared" si="7"/>
        <v>141</v>
      </c>
      <c r="BE19" s="966">
        <f t="shared" si="7"/>
        <v>0</v>
      </c>
      <c r="BF19" s="976">
        <f t="shared" si="7"/>
        <v>0</v>
      </c>
      <c r="BG19" s="1061">
        <f>IF(ISNUMBER(Datos!K19/Datos!J19),Datos!K19/Datos!J19," - ")</f>
        <v>0.8746803069053708</v>
      </c>
      <c r="BH19" s="1061">
        <f>IF(ISNUMBER(((Datos!L19/Datos!K19)*11)/factor_trimestre),((Datos!L19/Datos!K19)*11)/factor_trimestre," - ")</f>
        <v>4.0526315789473681</v>
      </c>
      <c r="BI19" s="959">
        <f>IF(ISNUMBER(Datos!J19/Datos!I19),Datos!J19/Datos!I19," - ")</f>
        <v>0.6071428571428571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-1.0179640718562875</v>
      </c>
      <c r="BM19" s="1035">
        <f>IF(ISNUMBER((Datos!P19-Datos!Q19+R19)/(Datos!R19-Datos!P19+Datos!Q19-R19)),(Datos!P19-Datos!Q19+R19)/(Datos!R19-Datos!P19+Datos!Q19-R19)," - ")</f>
        <v>2.6490066225165563E-2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83.715789032495735</v>
      </c>
      <c r="G21" s="600">
        <f>IF(ISNUMBER(STDEV(G8:G18)),STDEV(G8:G18),"-")</f>
        <v>85.359240858854875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82.449984839295155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17.378147196982766</v>
      </c>
      <c r="BD21" s="599"/>
      <c r="BE21" s="599">
        <f>IF(ISNUMBER(STDEV(BE8:BE18)),STDEV(BE8:BE18),"-")</f>
        <v>0</v>
      </c>
      <c r="BF21" s="604">
        <f>IF(ISNUMBER(STDEV(BF8:BF18)),STDEV(BF8:BF18),"-")</f>
        <v>0</v>
      </c>
      <c r="BG21" s="914">
        <f>IF(ISNUMBER(STDEV(BG8:BG18)),STDEV(BG8:BG18),"-")</f>
        <v>0.39381632995980587</v>
      </c>
      <c r="BH21" s="918">
        <f>IF(ISNUMBER(STDEV(BH8:BH18)),STDEV(BH8:BH18),"-")</f>
        <v>1.9675247358967867</v>
      </c>
      <c r="BI21" s="253">
        <f>IF(ISNUMBER(STDEV(BI8:BI18)),STDEV(BI8:BI18),"-")</f>
        <v>6.9292441561458071E-2</v>
      </c>
      <c r="BJ21" s="234" t="str">
        <f>IF(ISNUMBER(BL21/BM21),BL21/BM21," - ")</f>
        <v xml:space="preserve"> - </v>
      </c>
      <c r="BK21" s="626"/>
      <c r="BL21" s="607">
        <f>IF(ISNUMBER(STDEV(BL8:BL18)),STDEV(BL8:BL18),"-")</f>
        <v>0.77056508206226326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vx3HgZ3A9CXvB0IUKFj5PFmaXYMU3cCkR4gmtEK7bVnb6O15kzqVS39Q/29IQ++esg3YNll9UXjm/GIwvVGSw==" saltValue="GZfcFZPFPwiO+pkV+4Qf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 BARCO DE VALDEORRAS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893</v>
      </c>
      <c r="AF12" s="619" t="str">
        <f>IF(ISNUMBER(Datos!BV12),Datos!BV12," - ")</f>
        <v xml:space="preserve"> - </v>
      </c>
      <c r="AG12" s="506" t="str">
        <f>IF(ISNUMBER(Datos!DV12),Datos!DV12," - ")</f>
        <v xml:space="preserve"> - </v>
      </c>
      <c r="AH12" s="507"/>
      <c r="AI12" s="508"/>
      <c r="AJ12" s="506">
        <f>IF(ISNUMBER(Datos!M12),Datos!M12," - ")</f>
        <v>40</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5.6108108108108112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3.4762456546929318E-2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22</v>
      </c>
      <c r="AA13" s="1046">
        <f t="shared" si="2"/>
        <v>11</v>
      </c>
      <c r="AB13" s="1046">
        <f t="shared" si="2"/>
        <v>0</v>
      </c>
      <c r="AC13" s="1046">
        <f t="shared" si="2"/>
        <v>0</v>
      </c>
      <c r="AD13" s="1046">
        <f t="shared" si="2"/>
        <v>0</v>
      </c>
      <c r="AE13" s="1046">
        <f t="shared" si="2"/>
        <v>893</v>
      </c>
      <c r="AF13" s="1054">
        <f t="shared" si="2"/>
        <v>0</v>
      </c>
      <c r="AG13" s="1054">
        <f t="shared" si="2"/>
        <v>0</v>
      </c>
      <c r="AH13" s="1054">
        <f t="shared" si="2"/>
        <v>0</v>
      </c>
      <c r="AI13" s="1054">
        <f t="shared" si="2"/>
        <v>0</v>
      </c>
      <c r="AJ13" s="1054">
        <f t="shared" si="2"/>
        <v>40</v>
      </c>
      <c r="AK13" s="1054">
        <f t="shared" si="2"/>
        <v>18</v>
      </c>
      <c r="AL13" s="1054">
        <f t="shared" si="2"/>
        <v>0</v>
      </c>
      <c r="AM13" s="1054">
        <f t="shared" si="2"/>
        <v>0</v>
      </c>
      <c r="AN13" s="1054">
        <f t="shared" si="2"/>
        <v>0</v>
      </c>
      <c r="AO13" s="1050">
        <f>IF(ISNUMBER(((NºAsuntos!I13/NºAsuntos!G13)*11)/factor_trimestre),((NºAsuntos!I13/NºAsuntos!G13)*11)/factor_trimestre," - ")</f>
        <v>5.7297297297297298</v>
      </c>
      <c r="AP13" s="1056" t="str">
        <f>IF(ISNUMBER(Datos!CI13/Datos!CJ13),Datos!CI13/Datos!CJ13," - ")</f>
        <v xml:space="preserve"> - </v>
      </c>
      <c r="AQ13" s="1074">
        <f t="shared" ref="AQ13:AV13" si="3">SUBTOTAL(9,AQ9:AQ12)</f>
        <v>0</v>
      </c>
      <c r="AR13" s="1074">
        <f t="shared" si="3"/>
        <v>3.4762456546929318E-2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156</v>
      </c>
      <c r="G16" s="506">
        <f>IF(ISNUMBER(IF(D_I="SI",Datos!I16,Datos!I16+Datos!AC16)),IF(D_I="SI",Datos!I16,Datos!I16+Datos!AC16)," - ")</f>
        <v>156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144</v>
      </c>
      <c r="Z16" s="703">
        <f>IF(ISNUMBER(Datos!Q16),Datos!Q16," - ")</f>
        <v>7</v>
      </c>
      <c r="AA16" s="505">
        <f>IF(ISNUMBER(IF(D_I="SI",Datos!L16,Datos!L16+Datos!AF16)),IF(D_I="SI",Datos!L16,Datos!L16+Datos!AF16)," - ")</f>
        <v>181</v>
      </c>
      <c r="AB16" s="503"/>
      <c r="AC16" s="503"/>
      <c r="AD16" s="516"/>
      <c r="AE16" s="516">
        <f>IF(ISNUMBER(Datos!R16),Datos!R16," - ")</f>
        <v>35</v>
      </c>
      <c r="AF16" s="619" t="str">
        <f>IF(ISNUMBER(Datos!BV16),Datos!BV16," - ")</f>
        <v xml:space="preserve"> - </v>
      </c>
      <c r="AG16" s="506"/>
      <c r="AH16" s="507"/>
      <c r="AI16" s="508"/>
      <c r="AJ16" s="506">
        <f>IF(ISNUMBER(Datos!M16),Datos!M16," - ")</f>
        <v>23</v>
      </c>
      <c r="AK16" s="619">
        <f>IF(ISNUMBER(Datos!N16),Datos!N16," - ")</f>
        <v>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2.5138888888888888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20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1.5384615384615385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156</v>
      </c>
      <c r="G18" s="1044">
        <f>SUBTOTAL(9,G15:G17)</f>
        <v>187</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170</v>
      </c>
      <c r="Z18" s="1078">
        <f t="shared" si="5"/>
        <v>7</v>
      </c>
      <c r="AA18" s="1078">
        <f t="shared" si="5"/>
        <v>201</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26</v>
      </c>
      <c r="AK18" s="1078">
        <f t="shared" si="5"/>
        <v>123</v>
      </c>
      <c r="AL18" s="1078">
        <f t="shared" si="5"/>
        <v>0</v>
      </c>
      <c r="AM18" s="1078">
        <f t="shared" si="5"/>
        <v>0</v>
      </c>
      <c r="AN18" s="1078">
        <f t="shared" si="5"/>
        <v>0</v>
      </c>
      <c r="AO18" s="1080">
        <f>IF(ISNUMBER(((NºAsuntos!I18/NºAsuntos!G18)*11)/factor_trimestre),((NºAsuntos!I18/NºAsuntos!G18)*11)/factor_trimestre," - ")</f>
        <v>2.3647058823529412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167</v>
      </c>
      <c r="G19" s="966">
        <f t="shared" si="7"/>
        <v>198</v>
      </c>
      <c r="H19" s="967">
        <f t="shared" si="7"/>
        <v>0</v>
      </c>
      <c r="I19" s="966">
        <f t="shared" si="7"/>
        <v>0</v>
      </c>
      <c r="J19" s="968">
        <f t="shared" si="7"/>
        <v>0</v>
      </c>
      <c r="K19" s="966">
        <f t="shared" si="7"/>
        <v>0</v>
      </c>
      <c r="L19" s="969">
        <f t="shared" si="7"/>
        <v>0</v>
      </c>
      <c r="M19" s="966">
        <f t="shared" si="7"/>
        <v>0</v>
      </c>
      <c r="N19" s="967">
        <f t="shared" si="7"/>
        <v>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170</v>
      </c>
      <c r="Z19" s="973">
        <f t="shared" si="8"/>
        <v>29</v>
      </c>
      <c r="AA19" s="974">
        <f t="shared" si="8"/>
        <v>212</v>
      </c>
      <c r="AB19" s="974">
        <f t="shared" si="8"/>
        <v>0</v>
      </c>
      <c r="AC19" s="974">
        <f t="shared" si="8"/>
        <v>0</v>
      </c>
      <c r="AD19" s="975">
        <f t="shared" si="8"/>
        <v>0</v>
      </c>
      <c r="AE19" s="975">
        <f t="shared" si="8"/>
        <v>930</v>
      </c>
      <c r="AF19" s="976">
        <f t="shared" si="8"/>
        <v>0</v>
      </c>
      <c r="AG19" s="977">
        <f t="shared" si="8"/>
        <v>0</v>
      </c>
      <c r="AH19" s="978">
        <f t="shared" si="8"/>
        <v>0</v>
      </c>
      <c r="AI19" s="976">
        <f t="shared" si="8"/>
        <v>0</v>
      </c>
      <c r="AJ19" s="966">
        <f t="shared" si="8"/>
        <v>66</v>
      </c>
      <c r="AK19" s="966">
        <f t="shared" si="8"/>
        <v>141</v>
      </c>
      <c r="AL19" s="966">
        <f t="shared" si="8"/>
        <v>0</v>
      </c>
      <c r="AM19" s="979">
        <f t="shared" si="8"/>
        <v>0</v>
      </c>
      <c r="AN19" s="969">
        <f>IF(ISNUMBER(Datos!K19/Datos!J19),Datos!K19/Datos!J19," - ")</f>
        <v>0.8746803069053708</v>
      </c>
      <c r="AO19" s="969">
        <f>IF(ISNUMBER(FIND("06",Criterios!A8,1)),(IF(ISNUMBER(((Datos!R19/Datos!Q19)*11)/factor_trimestre),((Datos!R19/Datos!Q19)*11)/factor_trimestre," - ")),(IF(ISNUMBER(((Datos!L19/Datos!K19)*11)/factor_trimestre),((Datos!L19/Datos!K19)*11)/factor_trimestre," - ")))</f>
        <v>4.0526315789473681</v>
      </c>
      <c r="AP19" s="980" t="str">
        <f>IF(ISNUMBER(Datos!CI19/Datos!CJ19),Datos!CI19/Datos!CJ19," - ")</f>
        <v xml:space="preserve"> - </v>
      </c>
      <c r="AQ19" s="980">
        <f>IF(OR(ISNUMBER(FIND("01",Criterios!A8,1)),ISNUMBER(FIND("02",Criterios!A8,1)),ISNUMBER(FIND("03",Criterios!A8,1)),ISNUMBER(FIND("04",Criterios!A8,1))),(J19-Y19+K19)/(F19-K19),(I19-Y19+K19)/(F19-K19))</f>
        <v>-1.0179640718562875</v>
      </c>
      <c r="AR19" s="980">
        <f>IF(ISNUMBER((Datos!P19-Datos!Q19+O19)/(Datos!R19-Datos!P19+Datos!Q19-O19)),(Datos!P19-Datos!Q19+O19)/(Datos!R19-Datos!P19+Datos!Q19-O19)," - ")</f>
        <v>2.6490066225165563E-2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83.715789032495735</v>
      </c>
      <c r="G21" s="600">
        <f>IF(ISNUMBER(STDEV(G8:G18)),STDEV(G8:G18),"-")</f>
        <v>85.359240858854875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17.378147196982766</v>
      </c>
      <c r="AK21" s="256"/>
      <c r="AL21" s="256">
        <f>IF(ISNUMBER(STDEV(AL8:AL18)),STDEV(AL8:AL18),"-")</f>
        <v>0</v>
      </c>
      <c r="AM21" s="258">
        <f>IF(ISNUMBER(STDEV(AM8:AM18)),STDEV(AM8:AM18),"-")</f>
        <v>0</v>
      </c>
      <c r="AN21" s="586">
        <f>IF(ISNUMBER(STDEV(AN8:AN18)),STDEV(AN8:AN18),"-")</f>
        <v>0</v>
      </c>
      <c r="AO21" s="587">
        <f>IF(ISNUMBER(STDEV(AO8:AO18)),STDEV(AO8:AO18),"-")</f>
        <v>1.969954740110847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DXo6ZJaSM3pPqN0oat1/jHOqmWqiSSFpn5LIwxqzvHWP74s4nqffm+SclDQu1kRc8H2bPLgKO6VXCsOZLKd5Q==" saltValue="8MUh7AEPkLekUgc81ws0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QhFxyx5lrUwMu/JNInxBraVHCiD8E846kBelzgut07uP3EaKPGDHKcQCAnTD+tzePMpoThSivNlOTWHrT4nWQ==" saltValue="HHGB/AzZfb2zdwqGXXxX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2RByMKTohSkZZpLvcJz4DZJx1Jn3l4UnbcD1e13brsmhAnDxO/1n4slFEJfZgPq7K8JyVTOWFjdqG7rY6+VA==" saltValue="bzsJLRryJbVRxldEX2eB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 BARCO DE VALDEORRAS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0.21621621621621623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0.15288795268898325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OTXlc5hIEV68yMPoqlbQ+S0wz2TARqBwMCoHfks4+nPyiZUJsAnAX8gfIhWlWtLuH4pCN6ZtxPwYSRZ7uXpkg==" saltValue="cEzIVkE/zcWVASSaH4tn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OOjcJtS0Zqu9t+ik+wljRlc2iZ8v7MHlc7JK5zYLIjT4ujvNSk5DyQucltJfCXDywU1knWhE35dLDbqxNk2WQ==" saltValue="gsTCG9WNnsR/PR0tbGra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 BARCO DE VALDEORRAS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0</v>
      </c>
      <c r="F10" s="415">
        <f>IF(ISNUMBER(E10/B10),E10/B10," - ")</f>
        <v>0</v>
      </c>
      <c r="G10" s="414">
        <f>IF(ISNUMBER(Datos!K10),Datos!K10," - ")</f>
        <v>0</v>
      </c>
      <c r="H10" s="415">
        <f>IF(ISNUMBER(G10/B10),G10/B10," - ")</f>
        <v>0</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479</v>
      </c>
      <c r="D12" s="415">
        <f>IF(ISNUMBER(C12/Datos!BH12),C12/Datos!BH12," - ")</f>
        <v>239.5</v>
      </c>
      <c r="E12" s="414">
        <f>IF(ISNUMBER(IF(J_V="SI",Datos!J12,Datos!J12+Datos!Z12)),IF(J_V="SI",Datos!J12,Datos!J12+Datos!Z12)," - ")</f>
        <v>225</v>
      </c>
      <c r="F12" s="415">
        <f>IF(ISNUMBER(E12/B12),E12/B12," - ")</f>
        <v>112.5</v>
      </c>
      <c r="G12" s="414">
        <f>IF(ISNUMBER(IF(J_V="SI",Datos!K12,Datos!K12+Datos!AA12)),IF(J_V="SI",Datos!K12,Datos!K12+Datos!AA12)," - ")</f>
        <v>185</v>
      </c>
      <c r="H12" s="415">
        <f>IF(ISNUMBER(G12/B12),G12/B12," - ")</f>
        <v>92.5</v>
      </c>
      <c r="I12" s="414">
        <f>IF(ISNUMBER(IF(J_V="SI",Datos!L12,Datos!L12+Datos!AB12)),IF(J_V="SI",Datos!L12,Datos!L12+Datos!AB12)," - ")</f>
        <v>519</v>
      </c>
      <c r="J12" s="415">
        <f>IF(ISNUMBER(I12/B12),I12/B12," - ")</f>
        <v>259.5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490</v>
      </c>
      <c r="D13" s="996" t="str">
        <f>IF(ISNUMBER(C13/Datos!BI13),C13/Datos!BI13," - ")</f>
        <v xml:space="preserve"> - </v>
      </c>
      <c r="E13" s="995">
        <f>SUBTOTAL(9,E8:E12)</f>
        <v>225</v>
      </c>
      <c r="F13" s="996">
        <f>IF(ISNUMBER(E13/B13),E13/B13," - ")</f>
        <v>112.5</v>
      </c>
      <c r="G13" s="995">
        <f>SUBTOTAL(9,G8:G12)</f>
        <v>185</v>
      </c>
      <c r="H13" s="996">
        <f>IF(ISNUMBER(G13/B13),G13/B13," - ")</f>
        <v>92.5</v>
      </c>
      <c r="I13" s="995">
        <f>SUBTOTAL(9,I8:I12)</f>
        <v>530</v>
      </c>
      <c r="J13" s="996">
        <f>IF(ISNUMBER(I13/B13),I13/B13," - ")</f>
        <v>265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156</v>
      </c>
      <c r="D16" s="415">
        <f>IF(ISNUMBER(C16/Datos!BH16),C16/Datos!BH16," - ")</f>
        <v>78</v>
      </c>
      <c r="E16" s="414">
        <f>IF(ISNUMBER(IF(D_I="SI",Datos!J16,Datos!J16+Datos!AD16)),IF(D_I="SI",Datos!J16,Datos!J16+Datos!AD16)," - ")</f>
        <v>169</v>
      </c>
      <c r="F16" s="415">
        <f>IF(ISNUMBER(E16/B16),E16/B16," - ")</f>
        <v>84.5</v>
      </c>
      <c r="G16" s="414">
        <f>IF(ISNUMBER(IF(D_I="SI",Datos!K16,Datos!K16+Datos!AE16)),IF(D_I="SI",Datos!K16,Datos!K16+Datos!AE16)," - ")</f>
        <v>144</v>
      </c>
      <c r="H16" s="415">
        <f>IF(ISNUMBER(G16/B16),G16/B16," - ")</f>
        <v>72</v>
      </c>
      <c r="I16" s="414">
        <f>IF(ISNUMBER(IF(D_I="SI",Datos!L16,Datos!L16+Datos!AF16)),IF(D_I="SI",Datos!L16,Datos!L16+Datos!AF16)," - ")</f>
        <v>181</v>
      </c>
      <c r="J16" s="415">
        <f>IF(ISNUMBER(I16/B16),I16/B16," - ")</f>
        <v>90.5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15</v>
      </c>
      <c r="F17" s="415">
        <f>IF(ISNUMBER(E17/B17),E17/B17," - ")</f>
        <v>15</v>
      </c>
      <c r="G17" s="414">
        <f>IF(ISNUMBER(IF(D_I="SI",Datos!K17,Datos!K17+Datos!AE17)),IF(D_I="SI",Datos!K17,Datos!K17+Datos!AE17)," - ")</f>
        <v>26</v>
      </c>
      <c r="H17" s="415">
        <f>IF(ISNUMBER(G17/B17),G17/B17," - ")</f>
        <v>26</v>
      </c>
      <c r="I17" s="414">
        <f>IF(ISNUMBER(IF(D_I="SI",Datos!L17,Datos!L17+Datos!AF17)),IF(D_I="SI",Datos!L17,Datos!L17+Datos!AF17)," - ")</f>
        <v>20</v>
      </c>
      <c r="J17" s="415">
        <f>IF(ISNUMBER(I17/B17),I17/B17," - ")</f>
        <v>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187</v>
      </c>
      <c r="D18" s="996" t="str">
        <f>IF(ISNUMBER(C18/Datos!BI18),C18/Datos!BI18," - ")</f>
        <v xml:space="preserve"> - </v>
      </c>
      <c r="E18" s="995">
        <f>SUBTOTAL(9,E14:E17)</f>
        <v>184</v>
      </c>
      <c r="F18" s="996">
        <f>IF(ISNUMBER(E18/B18),E18/B18," - ")</f>
        <v>92</v>
      </c>
      <c r="G18" s="995">
        <f>SUBTOTAL(9,G14:G17)</f>
        <v>170</v>
      </c>
      <c r="H18" s="996">
        <f>IF(ISNUMBER(G18/B18),G18/B18," - ")</f>
        <v>85</v>
      </c>
      <c r="I18" s="995">
        <f>SUBTOTAL(9,I14:I17)</f>
        <v>201</v>
      </c>
      <c r="J18" s="996">
        <f>IF(ISNUMBER(I18/B18),I18/B18," - ")</f>
        <v>100.5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677</v>
      </c>
      <c r="D19" s="941" t="str">
        <f>IF(ISNUMBER(C19/Datos!BI19),C19/Datos!BI19," - ")</f>
        <v xml:space="preserve"> - </v>
      </c>
      <c r="E19" s="940">
        <f>SUBTOTAL(9,E9:E18)</f>
        <v>409</v>
      </c>
      <c r="F19" s="941">
        <f>IF(ISNUMBER(E19/B19),E19/B19," - ")</f>
        <v>204.5</v>
      </c>
      <c r="G19" s="940">
        <f>SUBTOTAL(9,G9:G18)</f>
        <v>355</v>
      </c>
      <c r="H19" s="941">
        <f>IF(ISNUMBER(G19/B19),G19/B19," - ")</f>
        <v>177.5</v>
      </c>
      <c r="I19" s="940">
        <f>SUBTOTAL(9,I9:I18)</f>
        <v>731</v>
      </c>
      <c r="J19" s="941">
        <f>IF(ISNUMBER(I19/B19),I19/B19," - ")</f>
        <v>365.5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mLAaaX/NayQk6Ky2JLU47AdW5o7QArq7MPYCgDXH7dwYXSFMnI4OWOFmhVztjnUrjkQ2SJC3KtCWi9UITAkaA==" saltValue="YPqpduIPBtDKbf2Lbl8A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 BARCO DE VALDEORRAS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40</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5.6108108108108112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3.4762456546929318E-2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52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22</v>
      </c>
      <c r="AE13" s="1085">
        <f t="shared" si="1"/>
        <v>0</v>
      </c>
      <c r="AF13" s="1085">
        <f t="shared" si="1"/>
        <v>11</v>
      </c>
      <c r="AG13" s="1085">
        <f t="shared" si="1"/>
        <v>0</v>
      </c>
      <c r="AH13" s="1085">
        <f t="shared" si="1"/>
        <v>893</v>
      </c>
      <c r="AI13" s="1085">
        <f t="shared" si="1"/>
        <v>0</v>
      </c>
      <c r="AJ13" s="1085">
        <f t="shared" si="1"/>
        <v>0</v>
      </c>
      <c r="AK13" s="1085">
        <f t="shared" si="1"/>
        <v>0</v>
      </c>
      <c r="AL13" s="1085">
        <f t="shared" si="1"/>
        <v>40</v>
      </c>
      <c r="AM13" s="1085">
        <f t="shared" si="1"/>
        <v>18</v>
      </c>
      <c r="AN13" s="1085">
        <f t="shared" si="1"/>
        <v>0</v>
      </c>
      <c r="AO13" s="1085">
        <f t="shared" si="1"/>
        <v>0</v>
      </c>
      <c r="AP13" s="1090">
        <f>IF(ISNUMBER(((Datos!L13/Datos!K13)*11)/factor_trimestre),((Datos!L13/Datos!K13)*11)/factor_trimestre," - ")</f>
        <v>5.7209302325581399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3.4762456546929318E-2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2.3647058823529412</v>
      </c>
      <c r="AQ18" s="1090">
        <f>IF(ISNUMBER(((Datos!M18/Datos!L18)*11)/factor_trimestre),((Datos!M18/Datos!L18)*11)/factor_trimestre," - ")</f>
        <v>0.25870646766169153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-0.13953488372093023</v>
      </c>
      <c r="AW18" s="1092">
        <f>IF(ISNUMBER((Datos!Q18-Datos!R18)/(Datos!S18-Datos!Q18+Datos!R18)),(Datos!Q18-Datos!R18)/(Datos!S18-Datos!Q18+Datos!R18)," - ")</f>
        <v>-0.13215859030837004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52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22</v>
      </c>
      <c r="AE19" s="1103">
        <f t="shared" si="5"/>
        <v>0</v>
      </c>
      <c r="AF19" s="1104">
        <f t="shared" si="5"/>
        <v>11</v>
      </c>
      <c r="AG19" s="1104">
        <f t="shared" si="5"/>
        <v>0</v>
      </c>
      <c r="AH19" s="1104">
        <f t="shared" si="5"/>
        <v>893</v>
      </c>
      <c r="AI19" s="1104">
        <f t="shared" si="5"/>
        <v>0</v>
      </c>
      <c r="AJ19" s="1105">
        <f t="shared" si="5"/>
        <v>0</v>
      </c>
      <c r="AK19" s="1105">
        <f t="shared" si="5"/>
        <v>0</v>
      </c>
      <c r="AL19" s="1097">
        <f t="shared" si="5"/>
        <v>40</v>
      </c>
      <c r="AM19" s="1097">
        <f t="shared" si="5"/>
        <v>18</v>
      </c>
      <c r="AN19" s="1097">
        <f t="shared" si="5"/>
        <v>0</v>
      </c>
      <c r="AO19" s="1097">
        <f t="shared" si="5"/>
        <v>0</v>
      </c>
      <c r="AP19" s="1097">
        <f>IF(ISNUMBER(((Datos!L19/Datos!K19)*11)/factor_trimestre),((Datos!L19/Datos!K19)*11)/factor_trimestre," - ")</f>
        <v>4.0526315789473681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2.6490066225165563E-2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23.094010767585033</v>
      </c>
      <c r="AM21" s="869"/>
      <c r="AN21" s="869">
        <f>IF(ISNUMBER(STDEV(AN8:AN18)),STDEV(AN8:AN18),"-")</f>
        <v>0</v>
      </c>
      <c r="AO21" s="875">
        <f>IF(ISNUMBER(STDEV(AO8:AO18)),STDEV(AO8:AO18),"-")</f>
        <v>0</v>
      </c>
      <c r="AP21" s="922">
        <f>IF(ISNUMBER(STDEV(AP8:AP18)),STDEV(AP8:AP18),"-")</f>
        <v>1.9067234278780776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XmqKU/HPoyKq4k0Z5GuuV5LdISKL4cqQ2drOOt05i42Kfhqq1bQOiFhcOJAfK6Fe5pN0fWjiH5rlDMwnI+wPQ==" saltValue="dDz6q4TLeBGlQRXfOqxZ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O BARCO DE VALDEORRAS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BsADCG41SHm0Bmb5/k1jIDD8dfo8o4Q/7rpGK803K5nRYtzCxliTDmYpl3riTHnUKuBGo1IUVu6B3fxDlsHFw==" saltValue="WCFqSN1yBTZBX2VA6u1x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 BARCO DE VALDEORRAS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40</v>
      </c>
      <c r="E12" s="415">
        <f t="shared" si="0"/>
        <v>20</v>
      </c>
      <c r="F12" s="414">
        <f>IF(ISNUMBER(Datos!N12),Datos!N12," - ")</f>
        <v>18</v>
      </c>
      <c r="G12" s="415">
        <f t="shared" si="1"/>
        <v>9</v>
      </c>
      <c r="H12" s="414">
        <f>IF(ISNUMBER(Datos!O12),Datos!O12," - ")</f>
        <v>21</v>
      </c>
      <c r="I12" s="415">
        <f t="shared" si="2"/>
        <v>10.5</v>
      </c>
    </row>
    <row r="13" spans="1:9" ht="14.25" thickTop="1" thickBot="1">
      <c r="A13" s="994" t="str">
        <f>Datos!A13</f>
        <v>TOTAL</v>
      </c>
      <c r="B13" s="995">
        <f>Datos!AO13</f>
        <v>3</v>
      </c>
      <c r="C13" s="997">
        <f>Datos!AR13</f>
        <v>2</v>
      </c>
      <c r="D13" s="995">
        <f>SUBTOTAL(9,D9:D12)</f>
        <v>40</v>
      </c>
      <c r="E13" s="996">
        <f t="shared" si="0"/>
        <v>13.333333333333334</v>
      </c>
      <c r="F13" s="995">
        <f>SUBTOTAL(9,F9:F12)</f>
        <v>18</v>
      </c>
      <c r="G13" s="996">
        <f t="shared" si="1"/>
        <v>6</v>
      </c>
      <c r="H13" s="995">
        <f>SUBTOTAL(9,H9:H12)</f>
        <v>21</v>
      </c>
      <c r="I13" s="996">
        <f>IF(ISNUMBER(H13/B13),H13/B13," - ")</f>
        <v>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98</v>
      </c>
      <c r="G16" s="415">
        <f t="shared" si="4"/>
        <v>49</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3</v>
      </c>
      <c r="C18" s="997">
        <f>Datos!AR18</f>
        <v>2</v>
      </c>
      <c r="D18" s="995">
        <f>SUBTOTAL(9,D15:D17)</f>
        <v>26</v>
      </c>
      <c r="E18" s="996">
        <f t="shared" si="3"/>
        <v>8.6666666666666661</v>
      </c>
      <c r="F18" s="995">
        <f>SUBTOTAL(9,F15:F17)</f>
        <v>123</v>
      </c>
      <c r="G18" s="996">
        <f t="shared" si="4"/>
        <v>41</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66</v>
      </c>
      <c r="E19" s="941">
        <f>IF(ISNUMBER(D19/B19),D19/B19," - ")</f>
        <v>33</v>
      </c>
      <c r="F19" s="940">
        <f>SUBTOTAL(9,F8:F18)</f>
        <v>141</v>
      </c>
      <c r="G19" s="941">
        <f>IF(ISNUMBER(F19/B19),F19/B19," - ")</f>
        <v>70.5</v>
      </c>
      <c r="H19" s="940">
        <f>SUBTOTAL(9,H8:H18)</f>
        <v>22</v>
      </c>
      <c r="I19" s="941">
        <f>IF(ISNUMBER(H19/B19),H19/B19," - ")</f>
        <v>11</v>
      </c>
    </row>
    <row r="22" spans="1:9">
      <c r="A22" s="402" t="str">
        <f>Criterios!A4</f>
        <v>Fecha Informe: 29 nov. 2023</v>
      </c>
    </row>
    <row r="27" spans="1:9">
      <c r="A27" s="425"/>
    </row>
  </sheetData>
  <sheetProtection algorithmName="SHA-512" hashValue="kT+wKWwbqJ8ah6ylT4XrsviGTyDoAOH88wNmkvXJTHUUUadThLsKBwztn/ZTJaoeMFrSd9yyQdII3xZtOm9tuw==" saltValue="UJSl802meSfiTPMVPJ4f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 BARCO DE VALDEORRAS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v>
      </c>
      <c r="C12" s="450">
        <f>IF(ISNUMBER(Datos!Q12),Datos!Q12," - ")</f>
        <v>22</v>
      </c>
      <c r="D12" s="419">
        <f>IF(ISNUMBER(Datos!R12),Datos!R12," - ")</f>
        <v>893</v>
      </c>
    </row>
    <row r="13" spans="1:4" ht="14.25" thickTop="1" thickBot="1">
      <c r="A13" s="994" t="str">
        <f>Datos!A13</f>
        <v>TOTAL</v>
      </c>
      <c r="B13" s="995">
        <f>SUBTOTAL(9,B9:B12)</f>
        <v>52</v>
      </c>
      <c r="C13" s="999">
        <f>SUBTOTAL(9,C9:C12)</f>
        <v>22</v>
      </c>
      <c r="D13" s="997">
        <f>SUBTOTAL(9,D9:D12)</f>
        <v>893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7</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v>
      </c>
      <c r="C18" s="999">
        <f>SUBTOTAL(9,C15:C17)</f>
        <v>7</v>
      </c>
      <c r="D18" s="997">
        <f>SUBTOTAL(9,D15:D17)</f>
        <v>37</v>
      </c>
    </row>
    <row r="19" spans="1:4" ht="16.5" customHeight="1" thickTop="1" thickBot="1">
      <c r="A19" s="939" t="str">
        <f>Datos!A19</f>
        <v>TOTAL JURISDICCIONES</v>
      </c>
      <c r="B19" s="944">
        <f>SUBTOTAL(9,B8:B18)</f>
        <v>53</v>
      </c>
      <c r="C19" s="945">
        <f>SUBTOTAL(9,C8:C18)</f>
        <v>29</v>
      </c>
      <c r="D19" s="946">
        <f>SUBTOTAL(9,D8:D18)</f>
        <v>930</v>
      </c>
    </row>
    <row r="20" spans="1:4" ht="7.5" customHeight="1"/>
    <row r="21" spans="1:4" ht="6" customHeight="1"/>
    <row r="22" spans="1:4">
      <c r="A22" s="402" t="str">
        <f>Criterios!A4</f>
        <v>Fecha Informe: 29 nov. 2023</v>
      </c>
    </row>
    <row r="27" spans="1:4">
      <c r="A27" s="425"/>
    </row>
  </sheetData>
  <sheetProtection algorithmName="SHA-512" hashValue="j6nYQPedeLwbWfIwFzcf7gKkNRxjkrQhkj6V/ZdXQY6N9xHFduFM+axFwb8B3v+ePgHzbnq4Wm3mWdtyxFbehA==" saltValue="ASXhCZq82tGIOjdQfdeN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 BARCO DE VALDEORRAS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-1</v>
      </c>
      <c r="D10" s="472" t="str">
        <f>IF(ISNUMBER((Datos!K10-Datos!U10)/Datos!U10),(Datos!K10-Datos!U10)/Datos!U10," - ")</f>
        <v xml:space="preserve"> - </v>
      </c>
      <c r="E10" s="472">
        <f>IF(ISNUMBER((Datos!L10-Datos!V10)/Datos!V10),(Datos!L10-Datos!V10)/Datos!V10," - ")</f>
        <v>0.1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1.6985138004246284E-2</v>
      </c>
      <c r="C12" s="472">
        <f>IF(ISNUMBER(
   IF(J_V="SI",(Datos!J12-Datos!T12)/Datos!T12,(Datos!J12+Datos!Z12-(Datos!T12+Datos!AH12))/(Datos!T12+Datos!AH12))
     ),IF(J_V="SI",(Datos!J12-Datos!T12)/Datos!T12,(Datos!J12+Datos!Z12-(Datos!T12+Datos!AH12))/(Datos!T12+Datos!AH12))," - ")</f>
        <v>-0.16044776119402984</v>
      </c>
      <c r="D12" s="472">
        <f>IF(ISNUMBER(
   IF(J_V="SI",(Datos!K12-Datos!U12)/Datos!U12,(Datos!K12+Datos!AA12-(Datos!U12+Datos!AI12))/(Datos!U12+Datos!AI12))
     ),IF(J_V="SI",(Datos!K12-Datos!U12)/Datos!U12,(Datos!K12+Datos!AA12-(Datos!U12+Datos!AI12))/(Datos!U12+Datos!AI12))," - ")</f>
        <v>-2.1164021164021163E-2</v>
      </c>
      <c r="E12" s="472">
        <f>IF(ISNUMBER(
   IF(J_V="SI",(Datos!L12-Datos!V12)/Datos!V12,(Datos!L12+Datos!AB12-(Datos!V12+Datos!AJ12))/(Datos!V12+Datos!AJ12))
     ),IF(J_V="SI",(Datos!L12-Datos!V12)/Datos!V12,(Datos!L12+Datos!AB12-(Datos!V12+Datos!AJ12))/(Datos!V12+Datos!AJ12))," - ")</f>
        <v>-5.6363636363636366E-2</v>
      </c>
      <c r="F12" s="472">
        <f>IF(ISNUMBER((Datos!M12-Datos!W12)/Datos!W12),(Datos!M12-Datos!W12)/Datos!W12," - ")</f>
        <v>-6.9767441860465115E-2</v>
      </c>
      <c r="G12" s="473">
        <f>IF(ISNUMBER((Datos!N12-Datos!X12)/Datos!X12),(Datos!N12-Datos!X12)/Datos!X12," - ")</f>
        <v>-0.82692307692307687</v>
      </c>
      <c r="H12" s="471">
        <f>IF(ISNUMBER(((NºAsuntos!G12/NºAsuntos!E12)-Datos!BD12)/Datos!BD12),((NºAsuntos!G12/NºAsuntos!E12)-Datos!BD12)/Datos!BD12," - ")</f>
        <v>0.16590241034685477</v>
      </c>
      <c r="I12" s="472">
        <f>IF(ISNUMBER(((NºAsuntos!I12/NºAsuntos!G12)-Datos!BE12)/Datos!BE12),((NºAsuntos!I12/NºAsuntos!G12)-Datos!BE12)/Datos!BE12," - ")</f>
        <v>-3.5960687960687944E-2</v>
      </c>
      <c r="J12" s="477">
        <f>IF(ISNUMBER((('Resol  Asuntos'!D12/NºAsuntos!G12)-Datos!BF12)/Datos!BF12),(('Resol  Asuntos'!D12/NºAsuntos!G12)-Datos!BF12)/Datos!BF12," - ")</f>
        <v>-0.60706860706860699</v>
      </c>
      <c r="K12" s="478">
        <f>IF(ISNUMBER((((NºAsuntos!C12+NºAsuntos!E12)/NºAsuntos!G12)-Datos!BG12)/Datos!BG12),(((NºAsuntos!C12+NºAsuntos!E12)/NºAsuntos!G12)-Datos!BG12)/Datos!BG12," - ")</f>
        <v>-2.6763705518779931E-2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2.0833333333333332E-2</v>
      </c>
      <c r="C13" s="1001">
        <f>IF(ISNUMBER(
   IF(J_V="SI",(Datos!J13-Datos!T13)/Datos!T13,(Datos!J13+Datos!Z13-(Datos!T13+Datos!AH13))/(Datos!T13+Datos!AH13))
     ),IF(J_V="SI",(Datos!J13-Datos!T13)/Datos!T13,(Datos!J13+Datos!Z13-(Datos!T13+Datos!AH13))/(Datos!T13+Datos!AH13))," - ")</f>
        <v>-0.16356877323420074</v>
      </c>
      <c r="D13" s="1001">
        <f>IF(ISNUMBER(
   IF(J_V="SI",(Datos!K13-Datos!U13)/Datos!U13,(Datos!K13+Datos!AA13-(Datos!U13+Datos!AI13))/(Datos!U13+Datos!AI13))
     ),IF(J_V="SI",(Datos!K13-Datos!U13)/Datos!U13,(Datos!K13+Datos!AA13-(Datos!U13+Datos!AI13))/(Datos!U13+Datos!AI13))," - ")</f>
        <v>-2.1164021164021163E-2</v>
      </c>
      <c r="E13" s="1001">
        <f>IF(ISNUMBER(
   IF(J_V="SI",(Datos!L13-Datos!V13)/Datos!V13,(Datos!L13+Datos!AB13-(Datos!V13+Datos!AJ13))/(Datos!V13+Datos!AJ13))
     ),IF(J_V="SI",(Datos!L13-Datos!V13)/Datos!V13,(Datos!L13+Datos!AB13-(Datos!V13+Datos!AJ13))/(Datos!V13+Datos!AJ13))," - ")</f>
        <v>-5.3571428571428568E-2</v>
      </c>
      <c r="F13" s="1002">
        <f>IF(ISNUMBER((Datos!M13-Datos!W13)/Datos!W13),(Datos!M13-Datos!W13)/Datos!W13," - ")</f>
        <v>-6.9767441860465115E-2</v>
      </c>
      <c r="G13" s="1003">
        <f>IF(ISNUMBER((Datos!N13-Datos!X13)/Datos!X13),(Datos!N13-Datos!X13)/Datos!X13," - ")</f>
        <v>-0.82692307692307687</v>
      </c>
      <c r="H13" s="1003">
        <f>IF(ISNUMBER(((NºAsuntos!G13/NºAsuntos!E13)-Datos!BD13)/Datos!BD13),((NºAsuntos!G13/NºAsuntos!E13)-Datos!BD13)/Datos!BD13," - ")</f>
        <v>0.17025279247501457</v>
      </c>
      <c r="I13" s="1003">
        <f>IF(ISNUMBER(((NºAsuntos!I13/NºAsuntos!G13)-Datos!BE13)/Datos!BE13),((NºAsuntos!I13/NºAsuntos!G13)-Datos!BE13)/Datos!BE13," - ")</f>
        <v>-3.3108108108108041E-2</v>
      </c>
      <c r="J13" s="1003">
        <f>IF(ISNUMBER((('Resol  Asuntos'!D13/NºAsuntos!G13)-Datos!BF13)/Datos!BF13),(('Resol  Asuntos'!D13/NºAsuntos!G13)-Datos!BF13)/Datos!BF13," - ")</f>
        <v>-0.60706860706860699</v>
      </c>
      <c r="K13" s="1003">
        <f>IF(ISNUMBER((((NºAsuntos!C13+NºAsuntos!E13)/NºAsuntos!G13)-Datos!BG13)/Datos!BG13),(((NºAsuntos!C13+NºAsuntos!E13)/NºAsuntos!G13)-Datos!BG13)/Datos!BG13," - ")</f>
        <v>-2.4753725688305073E-2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-0.17460317460317459</v>
      </c>
      <c r="C16" s="472">
        <f>IF(ISNUMBER(
   IF(D_I="SI",(Datos!J16-Datos!T16)/Datos!T16,(Datos!J16+Datos!AD16-(Datos!T16+Datos!AL16))/(Datos!T16+Datos!AL16))
     ),IF(D_I="SI",(Datos!J16-Datos!T16)/Datos!T16,(Datos!J16+Datos!AD16-(Datos!T16+Datos!AL16))/(Datos!T16+Datos!AL16))," - ")</f>
        <v>-2.3121387283236993E-2</v>
      </c>
      <c r="D16" s="472">
        <f>IF(ISNUMBER(
   IF(D_I="SI",(Datos!K16-Datos!U16)/Datos!U16,(Datos!K16+Datos!AE16-(Datos!U16+Datos!AM16))/(Datos!U16+Datos!AM16))
     ),IF(D_I="SI",(Datos!K16-Datos!U16)/Datos!U16,(Datos!K16+Datos!AE16-(Datos!U16+Datos!AM16))/(Datos!U16+Datos!AM16))," - ")</f>
        <v>-0.19553072625698323</v>
      </c>
      <c r="E16" s="472">
        <f>IF(ISNUMBER(
   IF(D_I="SI",(Datos!L16-Datos!V16)/Datos!V16,(Datos!L16+Datos!AF16-(Datos!V16+Datos!AN16))/(Datos!V16+Datos!AN16))
     ),IF(D_I="SI",(Datos!L16-Datos!V16)/Datos!V16,(Datos!L16+Datos!AF16-(Datos!V16+Datos!AN16))/(Datos!V16+Datos!AN16))," - ")</f>
        <v>-1.092896174863388E-2</v>
      </c>
      <c r="F16" s="472">
        <f>IF(ISNUMBER((Datos!M16-Datos!W16)/Datos!W16),(Datos!M16-Datos!W16)/Datos!W16," - ")</f>
        <v>-0.14814814814814814</v>
      </c>
      <c r="G16" s="473">
        <f>IF(ISNUMBER((Datos!N16-Datos!X16)/Datos!X16),(Datos!N16-Datos!X16)/Datos!X16," - ")</f>
        <v>-8.4112149532710276E-2</v>
      </c>
      <c r="H16" s="471">
        <f>IF(ISNUMBER(((NºAsuntos!G16/NºAsuntos!E16)-Datos!BD16)/Datos!BD16),((NºAsuntos!G16/NºAsuntos!E16)-Datos!BD16)/Datos!BD16," - ")</f>
        <v>-0.17649003338732611</v>
      </c>
      <c r="I16" s="472">
        <f>IF(ISNUMBER(((NºAsuntos!I16/NºAsuntos!G16)-Datos!BE16)/Datos!BE16),((NºAsuntos!I16/NºAsuntos!G16)-Datos!BE16)/Datos!BE16," - ")</f>
        <v>0.22947024893746207</v>
      </c>
      <c r="J16" s="477">
        <f>IF(ISNUMBER((('Resol  Asuntos'!D16/NºAsuntos!G16)-Datos!BF16)/Datos!BF16),(('Resol  Asuntos'!D16/NºAsuntos!G16)-Datos!BF16)/Datos!BF16," - ")</f>
        <v>5.8899176954732374E-2</v>
      </c>
      <c r="K16" s="478">
        <f>IF(ISNUMBER((((NºAsuntos!C16+NºAsuntos!E16)/NºAsuntos!G16)-Datos!BG16)/Datos!BG16),(((NºAsuntos!C16+NºAsuntos!E16)/NºAsuntos!G16)-Datos!BG16)/Datos!BG16," - ")</f>
        <v>0.11600291589932472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2.875</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0.8571428571428571</v>
      </c>
      <c r="E17" s="472">
        <f>IF(ISNUMBER(
   IF(D_I="SI",(Datos!L17-Datos!V17)/Datos!V17,(Datos!L17+Datos!AF17-(Datos!V17+Datos!AN17))/(Datos!V17+Datos!AN17))
     ),IF(D_I="SI",(Datos!L17-Datos!V17)/Datos!V17,(Datos!L17+Datos!AF17-(Datos!V17+Datos!AN17))/(Datos!V17+Datos!AN17))," - ")</f>
        <v>2.3333333333333335</v>
      </c>
      <c r="F17" s="472">
        <f>IF(ISNUMBER((Datos!M17-Datos!W17)/Datos!W17),(Datos!M17-Datos!W17)/Datos!W17," - ")</f>
        <v>-0.25</v>
      </c>
      <c r="G17" s="473">
        <f>IF(ISNUMBER((Datos!N17-Datos!X17)/Datos!X17),(Datos!N17-Datos!X17)/Datos!X17," - ")</f>
        <v>1.5</v>
      </c>
      <c r="H17" s="471">
        <f>IF(ISNUMBER(((NºAsuntos!G17/NºAsuntos!E17)-Datos!BD17)/Datos!BD17),((NºAsuntos!G17/NºAsuntos!E17)-Datos!BD17)/Datos!BD17," - ")</f>
        <v>0.48571428571428565</v>
      </c>
      <c r="I17" s="472">
        <f>IF(ISNUMBER(((NºAsuntos!I17/NºAsuntos!G17)-Datos!BE17)/Datos!BE17),((NºAsuntos!I17/NºAsuntos!G17)-Datos!BE17)/Datos!BE17," - ")</f>
        <v>0.79487179487179505</v>
      </c>
      <c r="J17" s="477">
        <f>IF(ISNUMBER((('Resol  Asuntos'!D17/NºAsuntos!G17)-Datos!BF17)/Datos!BF17),(('Resol  Asuntos'!D17/NºAsuntos!G17)-Datos!BF17)/Datos!BF17," - ")</f>
        <v>-0.59615384615384615</v>
      </c>
      <c r="K17" s="478">
        <f>IF(ISNUMBER((((NºAsuntos!C17+NºAsuntos!E17)/NºAsuntos!G17)-Datos!BG17)/Datos!BG17),(((NºAsuntos!C17+NºAsuntos!E17)/NºAsuntos!G17)-Datos!BG17)/Datos!BG17," - ")</f>
        <v>0.23846153846153839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-5.0761421319796954E-2</v>
      </c>
      <c r="C18" s="1001">
        <f>IF(ISNUMBER(
   IF(Criterios!B14="SI",(Datos!J18-Datos!T18)/Datos!T18,(Datos!J18+Datos!AD18-(Datos!T18+Datos!AL18))/(Datos!T18+Datos!AL18))
     ),IF(Criterios!B14="SI",(Datos!J18-Datos!T18)/Datos!T18,(Datos!J18+Datos!AD18-(Datos!T18+Datos!AL18))/(Datos!T18+Datos!AL18))," - ")</f>
        <v>-5.4054054054054057E-3</v>
      </c>
      <c r="D18" s="1001">
        <f>IF(ISNUMBER(
   IF(Criterios!B14="SI",(Datos!K18-Datos!U18)/Datos!U18,(Datos!K18+Datos!AE18-(Datos!U18+Datos!AM18))/(Datos!U18+Datos!AM18))
     ),IF(Criterios!B14="SI",(Datos!K18-Datos!U18)/Datos!U18,(Datos!K18+Datos!AE18-(Datos!U18+Datos!AM18))/(Datos!U18+Datos!AM18))," - ")</f>
        <v>-0.11917098445595854</v>
      </c>
      <c r="E18" s="1001">
        <f>IF(ISNUMBER(
   IF(Criterios!B14="SI",(Datos!L18-Datos!V18)/Datos!V18,(Datos!L18+Datos!AF18-(Datos!V18+Datos!AN18))/(Datos!V18+Datos!AN18))
     ),IF(Criterios!B14="SI",(Datos!L18-Datos!V18)/Datos!V18,(Datos!L18+Datos!AF18-(Datos!V18+Datos!AN18))/(Datos!V18+Datos!AN18))," - ")</f>
        <v>6.3492063492063489E-2</v>
      </c>
      <c r="F18" s="1002">
        <f>IF(ISNUMBER((Datos!M18-Datos!W18)/Datos!W18),(Datos!M18-Datos!W18)/Datos!W18," - ")</f>
        <v>-0.16129032258064516</v>
      </c>
      <c r="G18" s="1003">
        <f>IF(ISNUMBER((Datos!N18-Datos!X18)/Datos!X18),(Datos!N18-Datos!X18)/Datos!X18," - ")</f>
        <v>5.128205128205128E-2</v>
      </c>
      <c r="H18" s="1003">
        <f>IF(ISNUMBER(((NºAsuntos!G18/NºAsuntos!E18)-Datos!BD18)/Datos!BD18),((NºAsuntos!G18/NºAsuntos!E18)-Datos!BD18)/Datos!BD18," - ")</f>
        <v>-0.11438387024104529</v>
      </c>
      <c r="I18" s="1003">
        <f>IF(ISNUMBER(((NºAsuntos!I18/NºAsuntos!G18)-Datos!BE18)/Datos!BE18),((NºAsuntos!I18/NºAsuntos!G18)-Datos!BE18)/Datos!BE18," - ")</f>
        <v>0.20737628384687207</v>
      </c>
      <c r="J18" s="1003">
        <f>IF(ISNUMBER((('Resol  Asuntos'!D18/NºAsuntos!G18)-Datos!BF18)/Datos!BF18),(('Resol  Asuntos'!D18/NºAsuntos!G18)-Datos!BF18)/Datos!BF18," - ")</f>
        <v>-4.781783681214407E-2</v>
      </c>
      <c r="K18" s="1003">
        <f>IF(ISNUMBER((((NºAsuntos!C18+NºAsuntos!E18)/NºAsuntos!G18)-Datos!BG18)/Datos!BG18),(((NºAsuntos!C18+NºAsuntos!E18)/NºAsuntos!G18)-Datos!BG18)/Datos!BG18," - ")</f>
        <v>0.10260240221743142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v>
      </c>
      <c r="C19" s="948">
        <f>IF(ISNUMBER(
   IF(J_V="SI",(Datos!J19-Datos!T19)/Datos!T19,(Datos!J19+Datos!Z19-(Datos!T19+Datos!AH19))/(Datos!T19+Datos!AH19))
     ),IF(J_V="SI",(Datos!J19-Datos!T19)/Datos!T19,(Datos!J19+Datos!Z19-(Datos!T19+Datos!AH19))/(Datos!T19+Datos!AH19))," - ")</f>
        <v>-9.9118942731277526E-2</v>
      </c>
      <c r="D19" s="948">
        <f>IF(ISNUMBER(
   IF(J_V="SI",(Datos!K19-Datos!U19)/Datos!U19,(Datos!K19+Datos!AA19-(Datos!U19+Datos!AI19))/(Datos!U19+Datos!AI19))
     ),IF(J_V="SI",(Datos!K19-Datos!U19)/Datos!U19,(Datos!K19+Datos!AA19-(Datos!U19+Datos!AI19))/(Datos!U19+Datos!AI19))," - ")</f>
        <v>-7.0680628272251314E-2</v>
      </c>
      <c r="E19" s="948">
        <f>IF(ISNUMBER(
   IF(J_V="SI",(Datos!L19-Datos!V19)/Datos!V19,(Datos!L19+Datos!AB19-(Datos!V19+Datos!AJ19))/(Datos!V19+Datos!AJ19))
     ),IF(J_V="SI",(Datos!L19-Datos!V19)/Datos!V19,(Datos!L19+Datos!AB19-(Datos!V19+Datos!AJ19))/(Datos!V19+Datos!AJ19))," - ")</f>
        <v>-2.4032042723631509E-2</v>
      </c>
      <c r="F19" s="949">
        <f>IF(ISNUMBER((Datos!M19-Datos!W19)/Datos!W19),(Datos!M19-Datos!W19)/Datos!W19," - ")</f>
        <v>-0.10810810810810811</v>
      </c>
      <c r="G19" s="950">
        <f>IF(ISNUMBER((Datos!N19-Datos!X19)/Datos!X19),(Datos!N19-Datos!X19)/Datos!X19," - ")</f>
        <v>-0.36199095022624433</v>
      </c>
      <c r="H19" s="951">
        <f>IF(ISNUMBER((Tasas!B19-Datos!BD19)/Datos!BD19),(Tasas!B19-Datos!BD19)/Datos!BD19," - ")</f>
        <v>3.1567224362831013E-2</v>
      </c>
      <c r="I19" s="952">
        <f>IF(ISNUMBER((Tasas!C19-Datos!BE19)/Datos!BE19),(Tasas!C19-Datos!BE19)/Datos!BE19," - ")</f>
        <v>5.0196506139641522E-2</v>
      </c>
      <c r="J19" s="953">
        <f>IF(ISNUMBER((Tasas!D19-Datos!BF19)/Datos!BF19),(Tasas!D19-Datos!BF19)/Datos!BF19," - ")</f>
        <v>-0.47392801251956185</v>
      </c>
      <c r="K19" s="953">
        <f>IF(ISNUMBER((Tasas!E19-Datos!BG19)/Datos!BG19),(Tasas!E19-Datos!BG19)/Datos!BG19," - ")</f>
        <v>3.3242425374528296E-2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OFAqMy0q/PJguFZDS3L1NzsQwcL69UW4CJpULO8NK0AEoc5EG/6SIXiYopNe60G2azE8DMGYMDS30JgVCgETQ==" saltValue="hEZ5LsFZMijtW3Oe0Mry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 BARCO DE VALDEORRAS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0.82222222222222219</v>
      </c>
      <c r="C12" s="459">
        <f>IF(ISNUMBER(NºAsuntos!I12/NºAsuntos!G12),NºAsuntos!I12/NºAsuntos!G12," - ")</f>
        <v>2.8054054054054056</v>
      </c>
      <c r="D12" s="460">
        <f>IF(ISNUMBER('Resol  Asuntos'!D12/NºAsuntos!G12),'Resol  Asuntos'!D12/NºAsuntos!G12," - ")</f>
        <v>0.21621621621621623</v>
      </c>
      <c r="E12" s="461">
        <f>IF(ISNUMBER((NºAsuntos!C12+NºAsuntos!E12)/NºAsuntos!G12),(NºAsuntos!C12+NºAsuntos!E12)/NºAsuntos!G12," - ")</f>
        <v>3.8054054054054056</v>
      </c>
      <c r="G12" s="479"/>
    </row>
    <row r="13" spans="1:7" ht="14.25" thickTop="1" thickBot="1">
      <c r="A13" s="994" t="str">
        <f>Datos!A13</f>
        <v>TOTAL</v>
      </c>
      <c r="B13" s="1004">
        <f>IF(ISNUMBER(NºAsuntos!G13/NºAsuntos!E13),NºAsuntos!G13/NºAsuntos!E13," - ")</f>
        <v>0.82222222222222219</v>
      </c>
      <c r="C13" s="1005">
        <f>IF(ISNUMBER(NºAsuntos!I13/NºAsuntos!G13),NºAsuntos!I13/NºAsuntos!G13," - ")</f>
        <v>2.8648648648648649</v>
      </c>
      <c r="D13" s="1006">
        <f>IF(ISNUMBER('Resol  Asuntos'!D13/NºAsuntos!G13),'Resol  Asuntos'!D13/NºAsuntos!G13," - ")</f>
        <v>0.21621621621621623</v>
      </c>
      <c r="E13" s="1007">
        <f>IF(ISNUMBER((NºAsuntos!C13+NºAsuntos!E13)/NºAsuntos!G13),(NºAsuntos!C13+NºAsuntos!E13)/NºAsuntos!G13," - ")</f>
        <v>3.8648648648648649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0.85207100591715978</v>
      </c>
      <c r="C16" s="459">
        <f>IF(ISNUMBER(NºAsuntos!I16/NºAsuntos!G16),NºAsuntos!I16/NºAsuntos!G16," - ")</f>
        <v>1.2569444444444444</v>
      </c>
      <c r="D16" s="460">
        <f>IF(ISNUMBER('Resol  Asuntos'!D16/NºAsuntos!G16),'Resol  Asuntos'!D16/NºAsuntos!G16," - ")</f>
        <v>0.15972222222222221</v>
      </c>
      <c r="E16" s="461">
        <f>IF(ISNUMBER((NºAsuntos!C16+NºAsuntos!E16)/NºAsuntos!G16),(NºAsuntos!C16+NºAsuntos!E16)/NºAsuntos!G16," - ")</f>
        <v>2.2569444444444446</v>
      </c>
      <c r="G16" s="479"/>
    </row>
    <row r="17" spans="1:7" ht="13.5" thickBot="1">
      <c r="A17" s="413" t="str">
        <f>Datos!A17</f>
        <v>Jdos. Violencia contra la mujer</v>
      </c>
      <c r="B17" s="458">
        <f>IF(ISNUMBER(NºAsuntos!G17/NºAsuntos!E17),NºAsuntos!G17/NºAsuntos!E17," - ")</f>
        <v>1.7333333333333334</v>
      </c>
      <c r="C17" s="459">
        <f>IF(ISNUMBER(NºAsuntos!I17/NºAsuntos!G17),NºAsuntos!I17/NºAsuntos!G17," - ")</f>
        <v>0.76923076923076927</v>
      </c>
      <c r="D17" s="460">
        <f>IF(ISNUMBER('Resol  Asuntos'!D17/NºAsuntos!G17),'Resol  Asuntos'!D17/NºAsuntos!G17," - ")</f>
        <v>0.11538461538461539</v>
      </c>
      <c r="E17" s="461">
        <f>IF(ISNUMBER((NºAsuntos!C17+NºAsuntos!E17)/NºAsuntos!G17),(NºAsuntos!C17+NºAsuntos!E17)/NºAsuntos!G17," - ")</f>
        <v>1.7692307692307692</v>
      </c>
      <c r="G17" s="479"/>
    </row>
    <row r="18" spans="1:7" ht="14.25" thickTop="1" thickBot="1">
      <c r="A18" s="994" t="str">
        <f>Datos!A18</f>
        <v>TOTAL</v>
      </c>
      <c r="B18" s="1004">
        <f>IF(ISNUMBER(NºAsuntos!G18/NºAsuntos!E18),NºAsuntos!G18/NºAsuntos!E18," - ")</f>
        <v>0.92391304347826086</v>
      </c>
      <c r="C18" s="1005">
        <f>IF(ISNUMBER(NºAsuntos!I18/NºAsuntos!G18),NºAsuntos!I18/NºAsuntos!G18," - ")</f>
        <v>1.1823529411764706</v>
      </c>
      <c r="D18" s="1008">
        <f>IF(ISNUMBER('Resol  Asuntos'!D18/NºAsuntos!G18),'Resol  Asuntos'!D18/NºAsuntos!G18," - ")</f>
        <v>0.15294117647058825</v>
      </c>
      <c r="E18" s="1007">
        <f>IF(ISNUMBER((NºAsuntos!C18+NºAsuntos!E18)/NºAsuntos!G18),(NºAsuntos!C18+NºAsuntos!E18)/NºAsuntos!G18," - ")</f>
        <v>2.1823529411764704</v>
      </c>
      <c r="G18" s="479"/>
    </row>
    <row r="19" spans="1:7" ht="15.75" customHeight="1" thickTop="1" thickBot="1">
      <c r="A19" s="939" t="str">
        <f>Datos!A19</f>
        <v>TOTAL JURISDICCIONES</v>
      </c>
      <c r="B19" s="954">
        <f>IF(ISNUMBER(NºAsuntos!G19/NºAsuntos!E19),NºAsuntos!G19/NºAsuntos!E19," - ")</f>
        <v>0.86797066014669921</v>
      </c>
      <c r="C19" s="955">
        <f>IF(ISNUMBER(NºAsuntos!I19/NºAsuntos!G19),NºAsuntos!I19/NºAsuntos!G19," - ")</f>
        <v>2.0591549295774647</v>
      </c>
      <c r="D19" s="956">
        <f>IF(ISNUMBER('Resol  Asuntos'!D19/NºAsuntos!G19),'Resol  Asuntos'!D19/NºAsuntos!G19," - ")</f>
        <v>0.18591549295774648</v>
      </c>
      <c r="E19" s="957">
        <f>IF(ISNUMBER((NºAsuntos!C19+NºAsuntos!E19)/NºAsuntos!G19),(NºAsuntos!C19+NºAsuntos!E19)/NºAsuntos!G19," - ")</f>
        <v>3.0591549295774647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muibee/ll5qYnaky6SJ0o7qqcEUEzrimdSPjC+mX/H4O/qHWm7mFxnTwAJygu/CVcbGsrexC1P6AU2WMArytg==" saltValue="i5FjE0HJnE8qosPkh1Jz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 BARCO DE VALDEORRAS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11</v>
      </c>
      <c r="AB10" s="343">
        <f>IF(ISNUMBER(Datos!R10),Datos!R10," - ")</f>
        <v>0</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40</v>
      </c>
      <c r="AJ12" s="233" t="str">
        <f>IF(ISNUMBER(Datos!BW12),Datos!BW12," - ")</f>
        <v xml:space="preserve"> - </v>
      </c>
      <c r="AK12" s="232" t="str">
        <f>IF(ISNUMBER(Datos!BX12),Datos!BX12," - ")</f>
        <v xml:space="preserve"> - </v>
      </c>
      <c r="AL12" s="247">
        <f>IF(ISNUMBER(NºAsuntos!G12/NºAsuntos!E12),NºAsuntos!G12/NºAsuntos!E12," - ")</f>
        <v>0.82222222222222219</v>
      </c>
      <c r="AM12" s="264">
        <f>IF(ISNUMBER(((NºAsuntos!I12/NºAsuntos!G12)*11)/factor_trimestre),((NºAsuntos!I12/NºAsuntos!G12)*11)/factor_trimestre," - ")</f>
        <v>5.6108108108108112</v>
      </c>
      <c r="AN12" s="248">
        <f>IF(ISNUMBER('Resol  Asuntos'!D12/NºAsuntos!G12),'Resol  Asuntos'!D12/NºAsuntos!G12," - ")</f>
        <v>0.21621621621621623</v>
      </c>
      <c r="AO12" s="249">
        <f>IF(ISNUMBER((NºAsuntos!C12+NºAsuntos!E12)/NºAsuntos!G12),(NºAsuntos!C12+NºAsuntos!E12)/NºAsuntos!G12," - ")</f>
        <v>3.8054054054054056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22</v>
      </c>
      <c r="Y13" s="1014">
        <f t="shared" si="4"/>
        <v>22</v>
      </c>
      <c r="Z13" s="1014">
        <f t="shared" si="4"/>
        <v>0</v>
      </c>
      <c r="AA13" s="1014">
        <f t="shared" si="4"/>
        <v>11</v>
      </c>
      <c r="AB13" s="1014">
        <f t="shared" si="4"/>
        <v>893</v>
      </c>
      <c r="AC13" s="1014">
        <f t="shared" si="4"/>
        <v>11</v>
      </c>
      <c r="AD13" s="1014">
        <f t="shared" si="4"/>
        <v>0</v>
      </c>
      <c r="AE13" s="1018">
        <f t="shared" si="4"/>
        <v>0</v>
      </c>
      <c r="AF13" s="1011">
        <f t="shared" si="4"/>
        <v>0</v>
      </c>
      <c r="AG13" s="1019">
        <f t="shared" si="4"/>
        <v>0</v>
      </c>
      <c r="AH13" s="1016">
        <f t="shared" si="4"/>
        <v>0</v>
      </c>
      <c r="AI13" s="1011">
        <f t="shared" si="4"/>
        <v>40</v>
      </c>
      <c r="AJ13" s="1013">
        <f t="shared" si="4"/>
        <v>0</v>
      </c>
      <c r="AK13" s="1016">
        <f>SUBTOTAL(9,AK9:AK12)</f>
        <v>0</v>
      </c>
      <c r="AL13" s="1020">
        <f>IF(ISNUMBER(NºAsuntos!G13/NºAsuntos!E13),NºAsuntos!G13/NºAsuntos!E13," - ")</f>
        <v>0.82222222222222219</v>
      </c>
      <c r="AM13" s="1020">
        <f>IF(ISNUMBER(((NºAsuntos!I13/NºAsuntos!G13)*11)/factor_trimestre),((NºAsuntos!I13/NºAsuntos!G13)*11)/factor_trimestre," - ")</f>
        <v>5.7297297297297298</v>
      </c>
      <c r="AN13" s="1021">
        <f>IF(ISNUMBER('Resol  Asuntos'!D13/NºAsuntos!G13),'Resol  Asuntos'!D13/NºAsuntos!G13," - ")</f>
        <v>0.21621621621621623</v>
      </c>
      <c r="AO13" s="1022">
        <f>IF(ISNUMBER((NºAsuntos!C13+NºAsuntos!E13)/NºAsuntos!G13),(NºAsuntos!C13+NºAsuntos!E13)/NºAsuntos!G13," - ")</f>
        <v>3.8648648648648649</v>
      </c>
      <c r="AP13" s="1023" t="str">
        <f t="shared" si="2"/>
        <v xml:space="preserve"> - </v>
      </c>
      <c r="AQ13" s="1023">
        <f>IF(ISNUMBER((H13-W13+K13)/(F13)),(H13-W13+K13)/(F13)," - ")</f>
        <v>0</v>
      </c>
      <c r="AR13" s="1024">
        <f>IF(ISNUMBER((Datos!P13-Datos!Q13)/(Datos!R13-Datos!P13+Datos!Q13)),(Datos!P13-Datos!Q13)/(Datos!R13-Datos!P13+Datos!Q13)," - ")</f>
        <v>3.4762456546929318E-2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156</v>
      </c>
      <c r="G16" s="342">
        <f>IF(ISNUMBER(IF(D_I="SI",Datos!I16,Datos!I16+Datos!AC16)),IF(D_I="SI",Datos!I16,Datos!I16+Datos!AC16)," - ")</f>
        <v>156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144</v>
      </c>
      <c r="X16" s="230">
        <f>IF(ISNUMBER(Datos!Q16),Datos!Q16," - ")</f>
        <v>7</v>
      </c>
      <c r="Y16" s="343">
        <f t="shared" ref="Y16:Y17" si="7">SUM(W16:X16)</f>
        <v>151</v>
      </c>
      <c r="Z16" s="344" t="str">
        <f>IF(ISNUMBER(Datos!CC16),Datos!CC16," - ")</f>
        <v xml:space="preserve"> - </v>
      </c>
      <c r="AA16" s="341">
        <f>IF(ISNUMBER(IF(D_I="SI",Datos!L16,Datos!L16+Datos!AF16)),IF(D_I="SI",Datos!L16,Datos!L16+Datos!AF16)," - ")</f>
        <v>181</v>
      </c>
      <c r="AB16" s="343">
        <f>IF(ISNUMBER(Datos!R16),Datos!R16," - ")</f>
        <v>35</v>
      </c>
      <c r="AC16" s="343">
        <f t="shared" si="6"/>
        <v>216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0.85207100591715978</v>
      </c>
      <c r="AM16" s="264">
        <f>IF(ISNUMBER(((NºAsuntos!I16/NºAsuntos!G16)*11)/factor_trimestre),((NºAsuntos!I16/NºAsuntos!G16)*11)/factor_trimestre," - ")</f>
        <v>2.5138888888888888</v>
      </c>
      <c r="AN16" s="248">
        <f>IF(ISNUMBER('Resol  Asuntos'!D16/NºAsuntos!G16),'Resol  Asuntos'!D16/NºAsuntos!G16," - ")</f>
        <v>0.15972222222222221</v>
      </c>
      <c r="AO16" s="249">
        <f>IF(ISNUMBER((NºAsuntos!C16+NºAsuntos!E16)/NºAsuntos!G16),(NºAsuntos!C16+NºAsuntos!E16)/NºAsuntos!G16," - ")</f>
        <v>2.2569444444444446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20</v>
      </c>
      <c r="AB17" s="343">
        <f>IF(ISNUMBER(Datos!R17),Datos!R17," - ")</f>
        <v>2</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1.7333333333333334</v>
      </c>
      <c r="AM17" s="264">
        <f>IF(ISNUMBER(((NºAsuntos!I17/NºAsuntos!G17)*11)/factor_trimestre),((NºAsuntos!I17/NºAsuntos!G17)*11)/factor_trimestre," - ")</f>
        <v>1.5384615384615385</v>
      </c>
      <c r="AN17" s="248">
        <f>IF(ISNUMBER('Resol  Asuntos'!D17/NºAsuntos!G17),'Resol  Asuntos'!D17/NºAsuntos!G17," - ")</f>
        <v>0.11538461538461539</v>
      </c>
      <c r="AO17" s="249">
        <f>IF(ISNUMBER((NºAsuntos!C17+NºAsuntos!E17)/NºAsuntos!G17),(NºAsuntos!C17+NºAsuntos!E17)/NºAsuntos!G17," - ")</f>
        <v>1.7692307692307692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156</v>
      </c>
      <c r="G18" s="1012">
        <f>SUBTOTAL(9,G15:G17)</f>
        <v>187</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170</v>
      </c>
      <c r="X18" s="1013">
        <f t="shared" si="11"/>
        <v>7</v>
      </c>
      <c r="Y18" s="1014">
        <f t="shared" si="11"/>
        <v>177</v>
      </c>
      <c r="Z18" s="1014">
        <f t="shared" si="11"/>
        <v>0</v>
      </c>
      <c r="AA18" s="1014">
        <f t="shared" si="11"/>
        <v>201</v>
      </c>
      <c r="AB18" s="1014">
        <f t="shared" si="11"/>
        <v>37</v>
      </c>
      <c r="AC18" s="1014">
        <f t="shared" si="11"/>
        <v>238</v>
      </c>
      <c r="AD18" s="1014">
        <f t="shared" si="11"/>
        <v>0</v>
      </c>
      <c r="AE18" s="1018">
        <f t="shared" si="11"/>
        <v>0</v>
      </c>
      <c r="AF18" s="1011">
        <f t="shared" si="11"/>
        <v>0</v>
      </c>
      <c r="AG18" s="1019">
        <f t="shared" si="11"/>
        <v>0</v>
      </c>
      <c r="AH18" s="1016">
        <f t="shared" si="11"/>
        <v>0</v>
      </c>
      <c r="AI18" s="1011">
        <f t="shared" si="11"/>
        <v>26</v>
      </c>
      <c r="AJ18" s="1013">
        <f t="shared" si="11"/>
        <v>0</v>
      </c>
      <c r="AK18" s="1016">
        <f t="shared" si="11"/>
        <v>0</v>
      </c>
      <c r="AL18" s="1020">
        <f>IF(ISNUMBER(NºAsuntos!G18/NºAsuntos!E18),NºAsuntos!G18/NºAsuntos!E18," - ")</f>
        <v>0.92391304347826086</v>
      </c>
      <c r="AM18" s="1020">
        <f>IF(ISNUMBER(((NºAsuntos!I18/NºAsuntos!G18)*11)/factor_trimestre),((NºAsuntos!I18/NºAsuntos!G18)*11)/factor_trimestre," - ")</f>
        <v>2.3647058823529412</v>
      </c>
      <c r="AN18" s="1021">
        <f>IF(ISNUMBER('Resol  Asuntos'!D18/NºAsuntos!G18),'Resol  Asuntos'!D18/NºAsuntos!G18," - ")</f>
        <v>0.15294117647058825</v>
      </c>
      <c r="AO18" s="1022">
        <f>IF(ISNUMBER((NºAsuntos!C18+NºAsuntos!E18)/NºAsuntos!G18),(NºAsuntos!C18+NºAsuntos!E18)/NºAsuntos!G18," - ")</f>
        <v>2.1823529411764704</v>
      </c>
      <c r="AP18" s="1023" t="str">
        <f t="shared" si="2"/>
        <v xml:space="preserve"> - </v>
      </c>
      <c r="AQ18" s="1023">
        <f>IF(ISNUMBER((H18-W18+K18)/(F18)),(H18-W18+K18)/(F18)," - ")</f>
        <v>-1.0897435897435896</v>
      </c>
      <c r="AR18" s="1024">
        <f>IF(ISNUMBER((Datos!P18-Datos!Q18)/(Datos!R18-Datos!P18+Datos!Q18)),(Datos!P18-Datos!Q18)/(Datos!R18-Datos!P18+Datos!Q18)," - ")</f>
        <v>-0.13953488372093023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167</v>
      </c>
      <c r="G19" s="967">
        <f t="shared" si="13"/>
        <v>198</v>
      </c>
      <c r="H19" s="966">
        <f t="shared" si="13"/>
        <v>0</v>
      </c>
      <c r="I19" s="968">
        <f t="shared" si="13"/>
        <v>0</v>
      </c>
      <c r="J19" s="968">
        <f t="shared" si="13"/>
        <v>0</v>
      </c>
      <c r="K19" s="1027">
        <f t="shared" si="13"/>
        <v>0</v>
      </c>
      <c r="L19" s="968">
        <f t="shared" si="13"/>
        <v>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170</v>
      </c>
      <c r="X19" s="967">
        <f t="shared" si="14"/>
        <v>29</v>
      </c>
      <c r="Y19" s="974">
        <f t="shared" si="14"/>
        <v>199</v>
      </c>
      <c r="Z19" s="974">
        <f t="shared" si="14"/>
        <v>0</v>
      </c>
      <c r="AA19" s="974">
        <f t="shared" si="14"/>
        <v>212</v>
      </c>
      <c r="AB19" s="974">
        <f t="shared" si="14"/>
        <v>930</v>
      </c>
      <c r="AC19" s="974">
        <f t="shared" si="14"/>
        <v>249</v>
      </c>
      <c r="AD19" s="974">
        <f t="shared" si="14"/>
        <v>0</v>
      </c>
      <c r="AE19" s="976">
        <f t="shared" si="14"/>
        <v>0</v>
      </c>
      <c r="AF19" s="977">
        <f t="shared" si="14"/>
        <v>0</v>
      </c>
      <c r="AG19" s="978">
        <f t="shared" si="14"/>
        <v>0</v>
      </c>
      <c r="AH19" s="976">
        <f t="shared" si="14"/>
        <v>0</v>
      </c>
      <c r="AI19" s="966">
        <f t="shared" si="14"/>
        <v>66</v>
      </c>
      <c r="AJ19" s="966">
        <f t="shared" si="14"/>
        <v>0</v>
      </c>
      <c r="AK19" s="976">
        <f t="shared" si="14"/>
        <v>0</v>
      </c>
      <c r="AL19" s="1030">
        <f>IF(ISNUMBER(NºAsuntos!G19/NºAsuntos!E19),NºAsuntos!G19/NºAsuntos!E19," - ")</f>
        <v>0.86797066014669921</v>
      </c>
      <c r="AM19" s="1031">
        <f>IF(ISNUMBER(((NºAsuntos!I19/NºAsuntos!G19)*11)/factor_trimestre),((NºAsuntos!I19/NºAsuntos!G19)*11)/factor_trimestre," - ")</f>
        <v>4.1183098591549294</v>
      </c>
      <c r="AN19" s="1031">
        <f>IF(ISNUMBER('Resol  Asuntos'!D19/NºAsuntos!G19),'Resol  Asuntos'!D19/NºAsuntos!G19," - ")</f>
        <v>0.18591549295774648</v>
      </c>
      <c r="AO19" s="1032">
        <f>IF(ISNUMBER((NºAsuntos!C19+NºAsuntos!E19)/NºAsuntos!G19),(NºAsuntos!C19+NºAsuntos!E19)/NºAsuntos!G19," - ")</f>
        <v>3.0591549295774647</v>
      </c>
      <c r="AP19" s="1033" t="str">
        <f t="shared" si="2"/>
        <v xml:space="preserve"> - </v>
      </c>
      <c r="AQ19" s="1034">
        <f>IF(OR(ISNUMBER(FIND("01",Criterios!A8,1)),ISNUMBER(FIND("02",Criterios!A8,1)),ISNUMBER(FIND("03",Criterios!A8,1)),ISNUMBER(FIND("04",Criterios!A8,1))),(I19-W19+K19)/(F19-K19),(H19-W19+K19)/(F19-K19))</f>
        <v>-1.0179640718562875</v>
      </c>
      <c r="AR19" s="1035">
        <f>IF(ISNUMBER((Datos!P19-Datos!Q19)/(Datos!R19-Datos!P19+Datos!Q19)),(Datos!P19-Datos!Q19)/(Datos!R19-Datos!P19+Datos!Q19)," - ")</f>
        <v>2.6490066225165563E-2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83.715789032495735</v>
      </c>
      <c r="G21" s="257">
        <f>IF(ISNUMBER(STDEV(G8:G18)),STDEV(G8:G18),"-")</f>
        <v>85.359240858854875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82.449984839295155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17.378147196982766</v>
      </c>
      <c r="AJ21" s="256">
        <f t="shared" si="18"/>
        <v>0</v>
      </c>
      <c r="AK21" s="258">
        <f t="shared" si="18"/>
        <v>0</v>
      </c>
      <c r="AL21" s="253">
        <f t="shared" si="18"/>
        <v>0.39494661875529535</v>
      </c>
      <c r="AM21" s="254">
        <f t="shared" si="18"/>
        <v>1.969954740110847</v>
      </c>
      <c r="AN21" s="254">
        <f t="shared" si="18"/>
        <v>4.3673177534449763E-2</v>
      </c>
      <c r="AO21" s="255">
        <f t="shared" si="18"/>
        <v>0.98497737005542252</v>
      </c>
      <c r="AP21" s="295" t="str">
        <f t="shared" si="18"/>
        <v>-</v>
      </c>
      <c r="AQ21" s="296">
        <f t="shared" si="18"/>
        <v>0.77056508206226326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8ubbSfj1eVZO9LIQi+JZ1F6AaAmQYWfAM4VwgSmPGLUVuuzZNFmvdiOPKav/6EETqxNZaMkuexkuqWFY/4qqQ==" saltValue="k0xPdLbPAjK1MkpOqMYV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 BARCO DE VALDEORRAS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-1</v>
      </c>
      <c r="F10" s="357" t="str">
        <f>IF(ISNUMBER((Datos!K10-Datos!U10)/Datos!U10),(Datos!K10-Datos!U10)/Datos!U10," - ")</f>
        <v xml:space="preserve"> - </v>
      </c>
      <c r="G10" s="358">
        <f>IF(ISNUMBER((Datos!L10-Datos!V10)/Datos!V10),(Datos!L10-Datos!V10)/Datos!V10," - ")</f>
        <v>0.1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-6.9767441860465115E-2</v>
      </c>
      <c r="I12" s="359">
        <f>IF(ISNUMBER((Tasas!C12-Datos!BE12)/Datos!BE12),(Tasas!C12-Datos!BE12)/Datos!BE12," - ")</f>
        <v>-3.5960687960687944E-2</v>
      </c>
      <c r="J12" s="358">
        <f>IF(ISNUMBER((Tasas!D12-Datos!BF12)/Datos!BF12),(Tasas!D12-Datos!BF12)/Datos!BF12," - ")</f>
        <v>-0.60706860706860699</v>
      </c>
      <c r="K12" s="360">
        <f>IF(ISNUMBER((Tasas!E12-Datos!BG12)/Datos!BG12),(Tasas!E12-Datos!BG12)/Datos!BG12," - ")</f>
        <v>-2.6763705518779931E-2</v>
      </c>
      <c r="M12" t="e">
        <f>IF(Monitorios="SI",Datos!CE12,0)</f>
        <v>#REF!</v>
      </c>
      <c r="N12" t="e">
        <f>IF(Monitorios="SI",Datos!CF12,0)</f>
        <v>#REF!</v>
      </c>
      <c r="O12" t="e">
        <f>IF(Monitorios="SI",Datos!CG12,0)</f>
        <v>#REF!</v>
      </c>
      <c r="P12" t="e">
        <f>IF(Monitorios="SI",Datos!CH12,0)</f>
        <v>#REF!</v>
      </c>
      <c r="Q12">
        <f>IF(J_V="SI",0,Datos!AG12)</f>
        <v>88</v>
      </c>
      <c r="R12">
        <f>IF(J_V="SI",0,Datos!AH12)</f>
        <v>46</v>
      </c>
      <c r="S12">
        <f>IF(J_V="SI",0,Datos!AI12)</f>
        <v>52</v>
      </c>
      <c r="T12">
        <f>IF(J_V="SI",0,Datos!AJ12)</f>
        <v>82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-6.9767441860465115E-2</v>
      </c>
      <c r="I13" s="366">
        <f>IF(ISNUMBER((Tasas!C13-Datos!BE13)/Datos!BE13),(Tasas!C13-Datos!BE13)/Datos!BE13," - ")</f>
        <v>-3.3108108108108041E-2</v>
      </c>
      <c r="J13" s="364">
        <f>IF(ISNUMBER((Tasas!D13-Datos!BF13)/Datos!BF13),(Tasas!D13-Datos!BF13)/Datos!BF13," - ")</f>
        <v>-0.60706860706860699</v>
      </c>
      <c r="K13" s="367">
        <f>IF(ISNUMBER((Tasas!E13-Datos!BG13)/Datos!BG13),(Tasas!E13-Datos!BG13)/Datos!BG13," - ")</f>
        <v>-2.4753725688305073E-2</v>
      </c>
      <c r="M13" t="e">
        <f>IF(Monitorios="SI",Datos!CE13,0)</f>
        <v>#REF!</v>
      </c>
      <c r="N13" t="e">
        <f>IF(Monitorios="SI",Datos!CF13,0)</f>
        <v>#REF!</v>
      </c>
      <c r="O13" t="e">
        <f>IF(Monitorios="SI",Datos!CG13,0)</f>
        <v>#REF!</v>
      </c>
      <c r="P13" t="e">
        <f>IF(Monitorios="SI",Datos!CH13,0)</f>
        <v>#REF!</v>
      </c>
      <c r="Q13">
        <f>IF(J_V="SI",0,Datos!AG13)</f>
        <v>88</v>
      </c>
      <c r="R13">
        <f>IF(J_V="SI",0,Datos!AH13)</f>
        <v>46</v>
      </c>
      <c r="S13">
        <f>IF(J_V="SI",0,Datos!AI13)</f>
        <v>52</v>
      </c>
      <c r="T13">
        <f>IF(J_V="SI",0,Datos!AJ13)</f>
        <v>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-0.17460317460317459</v>
      </c>
      <c r="E16" s="357">
        <f>IF(ISNUMBER(
   IF(D_I="SI",(Datos!J16-Datos!T16)/Datos!T16,(Datos!J16+Datos!AD16-(Datos!T16+Datos!AL16))/(Datos!T16+Datos!AL16))
     ),IF(D_I="SI",(Datos!J16-Datos!T16)/Datos!T16,(Datos!J16+Datos!AD16-(Datos!T16+Datos!AL16))/(Datos!T16+Datos!AL16))," - ")</f>
        <v>-2.3121387283236993E-2</v>
      </c>
      <c r="F16" s="357">
        <f>IF(ISNUMBER(
   IF(D_I="SI",(Datos!K16-Datos!U16)/Datos!U16,(Datos!K16+Datos!AE16-(Datos!U16+Datos!AM16))/(Datos!U16+Datos!AM16))
     ),IF(D_I="SI",(Datos!K16-Datos!U16)/Datos!U16,(Datos!K16+Datos!AE16-(Datos!U16+Datos!AM16))/(Datos!U16+Datos!AM16))," - ")</f>
        <v>-0.19553072625698323</v>
      </c>
      <c r="G16" s="358">
        <f>IF(ISNUMBER(
   IF(D_I="SI",(Datos!L16-Datos!V16)/Datos!V16,(Datos!L16+Datos!AF16-(Datos!V16+Datos!AN16))/(Datos!V16+Datos!AN16))
     ),IF(D_I="SI",(Datos!L16-Datos!V16)/Datos!V16,(Datos!L16+Datos!AF16-(Datos!V16+Datos!AN16))/(Datos!V16+Datos!AN16))," - ")</f>
        <v>-1.092896174863388E-2</v>
      </c>
      <c r="H16" s="234">
        <f>IF(ISNUMBER((Datos!M16-Datos!W16)/Datos!W16),(Datos!M16-Datos!W16)/Datos!W16," - ")</f>
        <v>-0.14814814814814814</v>
      </c>
      <c r="I16" s="359">
        <f>IF(ISNUMBER((Tasas!C16-Datos!BE16)/Datos!BE16),(Tasas!C16-Datos!BE16)/Datos!BE16," - ")</f>
        <v>0.22947024893746207</v>
      </c>
      <c r="J16" s="358">
        <f>IF(ISNUMBER((Tasas!D16-Datos!BF16)/Datos!BF16),(Tasas!D16-Datos!BF16)/Datos!BF16," - ")</f>
        <v>5.8899176954732374E-2</v>
      </c>
      <c r="K16" s="360">
        <f>IF(ISNUMBER((Tasas!E16-Datos!BG16)/Datos!BG16),(Tasas!E16-Datos!BG16)/Datos!BG16," - ")</f>
        <v>0.11600291589932472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2.875</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0.8571428571428571</v>
      </c>
      <c r="G17" s="358">
        <f>IF(ISNUMBER(
   IF(D_I="SI",(Datos!L17-Datos!V17)/Datos!V17,(Datos!L17+Datos!AF17-(Datos!V17+Datos!AN17))/(Datos!V17+Datos!AN17))
     ),IF(D_I="SI",(Datos!L17-Datos!V17)/Datos!V17,(Datos!L17+Datos!AF17-(Datos!V17+Datos!AN17))/(Datos!V17+Datos!AN17))," - ")</f>
        <v>2.3333333333333335</v>
      </c>
      <c r="H17" s="234">
        <f>IF(ISNUMBER((Datos!M17-Datos!W17)/Datos!W17),(Datos!M17-Datos!W17)/Datos!W17," - ")</f>
        <v>-0.25</v>
      </c>
      <c r="I17" s="359">
        <f>IF(ISNUMBER((Tasas!C17-Datos!BE17)/Datos!BE17),(Tasas!C17-Datos!BE17)/Datos!BE17," - ")</f>
        <v>0.79487179487179505</v>
      </c>
      <c r="J17" s="358">
        <f>IF(ISNUMBER((Tasas!D17-Datos!BF17)/Datos!BF17),(Tasas!D17-Datos!BF17)/Datos!BF17," - ")</f>
        <v>-0.59615384615384615</v>
      </c>
      <c r="K17" s="360">
        <f>IF(ISNUMBER((Tasas!E17-Datos!BG17)/Datos!BG17),(Tasas!E17-Datos!BG17)/Datos!BG17," - ")</f>
        <v>0.23846153846153839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-5.0761421319796954E-2</v>
      </c>
      <c r="E18" s="363">
        <f>IF(ISNUMBER(
   IF(D_I="SI",(Datos!J18-Datos!T18)/Datos!T18,(Datos!J18+Datos!AD18-(Datos!T18+Datos!AL18))/(Datos!T18+Datos!AL18))
     ),IF(D_I="SI",(Datos!J18-Datos!T18)/Datos!T18,(Datos!J18+Datos!AD18-(Datos!T18+Datos!AL18))/(Datos!T18+Datos!AL18))," - ")</f>
        <v>-5.4054054054054057E-3</v>
      </c>
      <c r="F18" s="363">
        <f>IF(ISNUMBER(
   IF(D_I="SI",(Datos!K18-Datos!U18)/Datos!U18,(Datos!K18+Datos!AE18-(Datos!U18+Datos!AM18))/(Datos!U18+Datos!AM18))
     ),IF(D_I="SI",(Datos!K18-Datos!U18)/Datos!U18,(Datos!K18+Datos!AE18-(Datos!U18+Datos!AM18))/(Datos!U18+Datos!AM18))," - ")</f>
        <v>-0.11917098445595854</v>
      </c>
      <c r="G18" s="364">
        <f>IF(ISNUMBER(
   IF(D_I="SI",(Datos!L18-Datos!V18)/Datos!V18,(Datos!L18+Datos!AF18-(Datos!V18+Datos!AN18))/(Datos!V18+Datos!AN18))
     ),IF(D_I="SI",(Datos!L18-Datos!V18)/Datos!V18,(Datos!L18+Datos!AF18-(Datos!V18+Datos!AN18))/(Datos!V18+Datos!AN18))," - ")</f>
        <v>6.3492063492063489E-2</v>
      </c>
      <c r="H18" s="365">
        <f>IF(ISNUMBER((Datos!M18-Datos!W18)/Datos!W18),(Datos!M18-Datos!W18)/Datos!W18," - ")</f>
        <v>-0.16129032258064516</v>
      </c>
      <c r="I18" s="366">
        <f>IF(ISNUMBER((Tasas!C18-Datos!BE18)/Datos!BE18),(Tasas!C18-Datos!BE18)/Datos!BE18," - ")</f>
        <v>0.20737628384687207</v>
      </c>
      <c r="J18" s="364">
        <f>IF(ISNUMBER((Tasas!D18-Datos!BF18)/Datos!BF18),(Tasas!D18-Datos!BF18)/Datos!BF18," - ")</f>
        <v>-4.781783681214407E-2</v>
      </c>
      <c r="K18" s="367">
        <f>IF(ISNUMBER((Tasas!E18-Datos!BG18)/Datos!BG18),(Tasas!E18-Datos!BG18)/Datos!BG18," - ")</f>
        <v>0.10260240221743142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v>
      </c>
      <c r="E19" s="372">
        <f>IF(ISNUMBER(
   IF(J_V="SI",(Datos!J19-Datos!T19)/Datos!T19,(Datos!J19+Datos!Z19-(Datos!T19+Datos!AH19))/(Datos!T19+Datos!AH19))
     ),IF(J_V="SI",(Datos!J19-Datos!T19)/Datos!T19,(Datos!J19+Datos!Z19-(Datos!T19+Datos!AH19))/(Datos!T19+Datos!AH19))," - ")</f>
        <v>-9.9118942731277526E-2</v>
      </c>
      <c r="F19" s="372">
        <f>IF(ISNUMBER(
   IF(J_V="SI",(Datos!K19-Datos!U19)/Datos!U19,(Datos!K19+Datos!AA19-(Datos!U19+Datos!AI19))/(Datos!U19+Datos!AI19))
     ),IF(J_V="SI",(Datos!K19-Datos!U19)/Datos!U19,(Datos!K19+Datos!AA19-(Datos!U19+Datos!AI19))/(Datos!U19+Datos!AI19))," - ")</f>
        <v>-7.0680628272251314E-2</v>
      </c>
      <c r="G19" s="373">
        <f>IF(ISNUMBER(
   IF(J_V="SI",(Datos!L19-Datos!V19)/Datos!V19,(Datos!L19+Datos!AB19-(Datos!V19+Datos!AJ19))/(Datos!V19+Datos!AJ19))
     ),IF(J_V="SI",(Datos!L19-Datos!V19)/Datos!V19,(Datos!L19+Datos!AB19-(Datos!V19+Datos!AJ19))/(Datos!V19+Datos!AJ19))," - ")</f>
        <v>-2.4032042723631509E-2</v>
      </c>
      <c r="H19" s="374">
        <f>IF(ISNUMBER((Datos!M19-Datos!W19)/Datos!W19),(Datos!M19-Datos!W19)/Datos!W19," - ")</f>
        <v>-0.10810810810810811</v>
      </c>
      <c r="I19" s="371">
        <f>IF(ISNUMBER((Tasas!C19-Datos!BE19)/Datos!BE19),(Tasas!C19-Datos!BE19)/Datos!BE19," - ")</f>
        <v>5.0196506139641522E-2</v>
      </c>
      <c r="J19" s="372">
        <f>IF(ISNUMBER((Tasas!D19-Datos!BF19)/Datos!BF19),(Tasas!D19-Datos!BF19)/Datos!BF19," - ")</f>
        <v>-0.47392801251956185</v>
      </c>
      <c r="K19" s="373">
        <f>IF(ISNUMBER((Tasas!E19-Datos!BG19)/Datos!BG19),(Tasas!E19-Datos!BG19)/Datos!BG19," - ")</f>
        <v>3.3242425374528296E-2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1.4475472531253228</v>
      </c>
      <c r="E21" s="282">
        <f t="shared" si="1"/>
        <v>0.55122222536952126</v>
      </c>
      <c r="F21" s="282">
        <f t="shared" si="1"/>
        <v>0.58696127081963667</v>
      </c>
      <c r="G21" s="283">
        <f t="shared" si="1"/>
        <v>1.1421726164484347</v>
      </c>
      <c r="H21" s="289">
        <f t="shared" si="1"/>
        <v>7.4974468653104198E-2</v>
      </c>
      <c r="I21" s="281">
        <f t="shared" si="1"/>
        <v>0.33893997247791657</v>
      </c>
      <c r="J21" s="282">
        <f t="shared" si="1"/>
        <v>0.33570393608373539</v>
      </c>
      <c r="K21" s="283">
        <f t="shared" si="1"/>
        <v>0.1109986602938762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2X1XmxP/Ew8ppKz7rw5d2XUrDYAiSFynE3TrIY31AjCVDT5wBsBArdek4vQA75Vt7q3qAPo9+C70H65oaaNA==" saltValue="kGBGFs5xNzpRv1j2IYJp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